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tabRatio="594" firstSheet="2" activeTab="10"/>
  </bookViews>
  <sheets>
    <sheet name="НВВ 2019" sheetId="62" r:id="rId1"/>
    <sheet name="интел.учет" sheetId="61" r:id="rId2"/>
    <sheet name="Кол-во учетов" sheetId="63" r:id="rId3"/>
    <sheet name="2.2" sheetId="6" r:id="rId4"/>
    <sheet name="2.1" sheetId="7" r:id="rId5"/>
    <sheet name="1.16" sheetId="16" r:id="rId6"/>
    <sheet name="мэс" sheetId="36" r:id="rId7"/>
    <sheet name="ДЭК" sheetId="59" r:id="rId8"/>
    <sheet name="ДРСК" sheetId="60" r:id="rId9"/>
    <sheet name="Смета расходов по годам" sheetId="40" r:id="rId10"/>
    <sheet name="план-факт 2017" sheetId="45" r:id="rId11"/>
    <sheet name="Отчет по НВВ " sheetId="46" r:id="rId12"/>
    <sheet name="детализация" sheetId="44" r:id="rId13"/>
  </sheets>
  <calcPr calcId="152511"/>
</workbook>
</file>

<file path=xl/calcChain.xml><?xml version="1.0" encoding="utf-8"?>
<calcChain xmlns="http://schemas.openxmlformats.org/spreadsheetml/2006/main">
  <c r="D54" i="62" l="1"/>
  <c r="Q13" i="63" l="1"/>
  <c r="O13" i="63"/>
  <c r="M13" i="63"/>
  <c r="K13" i="63"/>
  <c r="I13" i="63"/>
  <c r="G13" i="63"/>
  <c r="E13" i="63"/>
  <c r="S12" i="63"/>
  <c r="C13" i="63"/>
  <c r="S11" i="63"/>
  <c r="R11" i="63"/>
  <c r="R9" i="63"/>
  <c r="R8" i="63"/>
  <c r="R7" i="63"/>
  <c r="R6" i="63"/>
  <c r="R5" i="63"/>
  <c r="Q9" i="63"/>
  <c r="Q8" i="63"/>
  <c r="Q10" i="63" s="1"/>
  <c r="Q7" i="63"/>
  <c r="Q6" i="63"/>
  <c r="Q5" i="63"/>
  <c r="O9" i="63"/>
  <c r="O8" i="63"/>
  <c r="O7" i="63"/>
  <c r="O6" i="63"/>
  <c r="O5" i="63"/>
  <c r="O10" i="63" s="1"/>
  <c r="M9" i="63"/>
  <c r="M8" i="63"/>
  <c r="M7" i="63"/>
  <c r="M6" i="63"/>
  <c r="M5" i="63"/>
  <c r="M10" i="63" s="1"/>
  <c r="K9" i="63"/>
  <c r="K8" i="63"/>
  <c r="K7" i="63"/>
  <c r="K6" i="63"/>
  <c r="K10" i="63" s="1"/>
  <c r="K5" i="63"/>
  <c r="I8" i="63"/>
  <c r="I10" i="63" s="1"/>
  <c r="I7" i="63"/>
  <c r="I6" i="63"/>
  <c r="I5" i="63"/>
  <c r="G9" i="63"/>
  <c r="G8" i="63"/>
  <c r="G7" i="63"/>
  <c r="G6" i="63"/>
  <c r="G5" i="63"/>
  <c r="G10" i="63" s="1"/>
  <c r="E9" i="63"/>
  <c r="S9" i="63" s="1"/>
  <c r="E8" i="63"/>
  <c r="E7" i="63"/>
  <c r="E6" i="63"/>
  <c r="E5" i="63"/>
  <c r="S5" i="63" s="1"/>
  <c r="C9" i="63"/>
  <c r="C8" i="63"/>
  <c r="S8" i="63" s="1"/>
  <c r="C7" i="63"/>
  <c r="S7" i="63" s="1"/>
  <c r="C6" i="63"/>
  <c r="C10" i="63" s="1"/>
  <c r="C5" i="63"/>
  <c r="C40" i="62"/>
  <c r="D63" i="62"/>
  <c r="C63" i="62"/>
  <c r="D5" i="62"/>
  <c r="E13" i="61"/>
  <c r="E12" i="61"/>
  <c r="E11" i="61"/>
  <c r="E10" i="61"/>
  <c r="E9" i="61"/>
  <c r="E8" i="61"/>
  <c r="E7" i="61"/>
  <c r="B20" i="60"/>
  <c r="J19" i="60"/>
  <c r="H19" i="60"/>
  <c r="F19" i="60"/>
  <c r="C19" i="60" s="1"/>
  <c r="K19" i="60" s="1"/>
  <c r="J18" i="60"/>
  <c r="H18" i="60"/>
  <c r="F18" i="60"/>
  <c r="C18" i="60"/>
  <c r="K18" i="60" s="1"/>
  <c r="J17" i="60"/>
  <c r="H17" i="60"/>
  <c r="F17" i="60"/>
  <c r="C17" i="60" s="1"/>
  <c r="K17" i="60" s="1"/>
  <c r="J16" i="60"/>
  <c r="H16" i="60"/>
  <c r="C16" i="60" s="1"/>
  <c r="K16" i="60" s="1"/>
  <c r="F16" i="60"/>
  <c r="J15" i="60"/>
  <c r="H15" i="60"/>
  <c r="F15" i="60"/>
  <c r="C15" i="60" s="1"/>
  <c r="K15" i="60" s="1"/>
  <c r="J14" i="60"/>
  <c r="H14" i="60"/>
  <c r="F14" i="60"/>
  <c r="C14" i="60"/>
  <c r="K14" i="60" s="1"/>
  <c r="J13" i="60"/>
  <c r="H13" i="60"/>
  <c r="F13" i="60"/>
  <c r="C13" i="60" s="1"/>
  <c r="K13" i="60" s="1"/>
  <c r="J12" i="60"/>
  <c r="H12" i="60"/>
  <c r="C12" i="60" s="1"/>
  <c r="K12" i="60" s="1"/>
  <c r="F12" i="60"/>
  <c r="J11" i="60"/>
  <c r="H11" i="60"/>
  <c r="F11" i="60"/>
  <c r="C11" i="60" s="1"/>
  <c r="K11" i="60" s="1"/>
  <c r="J10" i="60"/>
  <c r="H10" i="60"/>
  <c r="F10" i="60"/>
  <c r="C10" i="60"/>
  <c r="K10" i="60" s="1"/>
  <c r="J9" i="60"/>
  <c r="H9" i="60"/>
  <c r="F9" i="60"/>
  <c r="C9" i="60" s="1"/>
  <c r="K9" i="60" s="1"/>
  <c r="J8" i="60"/>
  <c r="J20" i="60" s="1"/>
  <c r="I20" i="60" s="1"/>
  <c r="H8" i="60"/>
  <c r="C8" i="60" s="1"/>
  <c r="F8" i="60"/>
  <c r="G18" i="59"/>
  <c r="C18" i="59"/>
  <c r="H17" i="59"/>
  <c r="D17" i="59"/>
  <c r="J17" i="59" s="1"/>
  <c r="B17" i="59"/>
  <c r="J16" i="59"/>
  <c r="H16" i="59"/>
  <c r="D16" i="59"/>
  <c r="B16" i="59"/>
  <c r="H15" i="59"/>
  <c r="D15" i="59"/>
  <c r="B15" i="59"/>
  <c r="H14" i="59"/>
  <c r="J14" i="59" s="1"/>
  <c r="D14" i="59"/>
  <c r="B14" i="59"/>
  <c r="H13" i="59"/>
  <c r="D13" i="59"/>
  <c r="J13" i="59" s="1"/>
  <c r="B13" i="59"/>
  <c r="H12" i="59"/>
  <c r="D12" i="59"/>
  <c r="J12" i="59" s="1"/>
  <c r="B12" i="59"/>
  <c r="H11" i="59"/>
  <c r="D11" i="59"/>
  <c r="B11" i="59"/>
  <c r="H10" i="59"/>
  <c r="D10" i="59"/>
  <c r="J10" i="59" s="1"/>
  <c r="B10" i="59"/>
  <c r="H9" i="59"/>
  <c r="D9" i="59"/>
  <c r="J9" i="59" s="1"/>
  <c r="B9" i="59"/>
  <c r="J8" i="59"/>
  <c r="H8" i="59"/>
  <c r="D8" i="59"/>
  <c r="B8" i="59"/>
  <c r="H7" i="59"/>
  <c r="D7" i="59"/>
  <c r="B7" i="59"/>
  <c r="H6" i="59"/>
  <c r="H18" i="59" s="1"/>
  <c r="D6" i="59"/>
  <c r="B6" i="59"/>
  <c r="B18" i="59" s="1"/>
  <c r="E14" i="61" l="1"/>
  <c r="S10" i="63"/>
  <c r="S6" i="63"/>
  <c r="E10" i="63"/>
  <c r="S13" i="63"/>
  <c r="C68" i="62"/>
  <c r="D40" i="62"/>
  <c r="D68" i="62" s="1"/>
  <c r="C20" i="60"/>
  <c r="K20" i="60" s="1"/>
  <c r="K8" i="60"/>
  <c r="F20" i="60"/>
  <c r="H20" i="60"/>
  <c r="D18" i="59"/>
  <c r="J7" i="59"/>
  <c r="L7" i="59" s="1"/>
  <c r="J15" i="59"/>
  <c r="J6" i="59"/>
  <c r="K6" i="59" s="1"/>
  <c r="L6" i="59" s="1"/>
  <c r="J11" i="59"/>
  <c r="K11" i="59" s="1"/>
  <c r="K7" i="59"/>
  <c r="K15" i="59"/>
  <c r="L15" i="59"/>
  <c r="L8" i="59"/>
  <c r="K13" i="59"/>
  <c r="L13" i="59"/>
  <c r="J18" i="59"/>
  <c r="L14" i="59"/>
  <c r="K9" i="59"/>
  <c r="L9" i="59" s="1"/>
  <c r="K17" i="59"/>
  <c r="L17" i="59"/>
  <c r="K16" i="59"/>
  <c r="L16" i="59" s="1"/>
  <c r="K8" i="59"/>
  <c r="K10" i="59"/>
  <c r="L10" i="59" s="1"/>
  <c r="K12" i="59"/>
  <c r="L12" i="59" s="1"/>
  <c r="K14" i="59"/>
  <c r="L11" i="59" l="1"/>
  <c r="L18" i="59" s="1"/>
  <c r="K18" i="59"/>
  <c r="Q53" i="40" l="1"/>
  <c r="Q52" i="40"/>
  <c r="Q41" i="40"/>
  <c r="Q39" i="40"/>
  <c r="Q38" i="40"/>
  <c r="Q37" i="40"/>
  <c r="Q36" i="40"/>
  <c r="Q35" i="40"/>
  <c r="Q34" i="40"/>
  <c r="Q33" i="40"/>
  <c r="Q32" i="40"/>
  <c r="Q30" i="40"/>
  <c r="Q27" i="40"/>
  <c r="Q26" i="40"/>
  <c r="Q25" i="40"/>
  <c r="Q23" i="40"/>
  <c r="Q22" i="40"/>
  <c r="Q20" i="40"/>
  <c r="Q18" i="40"/>
  <c r="Q17" i="40"/>
  <c r="Q16" i="40"/>
  <c r="Q15" i="40"/>
  <c r="Q13" i="40"/>
  <c r="Q12" i="40"/>
  <c r="Q10" i="40"/>
  <c r="Q9" i="40"/>
  <c r="P41" i="40"/>
  <c r="D6" i="45"/>
  <c r="D96" i="45"/>
  <c r="D14" i="45"/>
  <c r="E40" i="16" l="1"/>
  <c r="E14" i="16"/>
  <c r="D24" i="16" l="1"/>
  <c r="D18" i="16"/>
  <c r="D21" i="16"/>
  <c r="D27" i="16"/>
  <c r="D30" i="16"/>
  <c r="D36" i="16" l="1"/>
  <c r="D37" i="16"/>
  <c r="D42" i="16" s="1"/>
  <c r="D43" i="16" s="1"/>
  <c r="H30" i="46"/>
  <c r="H35" i="46"/>
  <c r="H16" i="46"/>
  <c r="H13" i="46" s="1"/>
  <c r="H11" i="46" s="1"/>
  <c r="H5" i="46"/>
  <c r="H8" i="46"/>
  <c r="D110" i="45" l="1"/>
  <c r="D8" i="45" l="1"/>
  <c r="D23" i="45"/>
  <c r="D65" i="45"/>
  <c r="D74" i="45"/>
  <c r="D71" i="45"/>
  <c r="D69" i="45"/>
  <c r="D63" i="45"/>
  <c r="D62" i="45"/>
  <c r="D113" i="45"/>
  <c r="D125" i="45"/>
  <c r="D145" i="45" s="1"/>
  <c r="D9" i="45"/>
  <c r="C145" i="45"/>
  <c r="D143" i="45" l="1"/>
  <c r="D28" i="45"/>
  <c r="D11" i="45"/>
  <c r="C28" i="45"/>
  <c r="C21" i="45" s="1"/>
  <c r="C11" i="45"/>
  <c r="H49" i="46"/>
  <c r="H63" i="46" s="1"/>
  <c r="G49" i="46"/>
  <c r="G63" i="46" s="1"/>
  <c r="G68" i="46" s="1"/>
  <c r="H40" i="46"/>
  <c r="G40" i="46"/>
  <c r="C36" i="45" l="1"/>
  <c r="C40" i="45" s="1"/>
  <c r="H68" i="46"/>
  <c r="C9" i="44"/>
  <c r="C10" i="44"/>
  <c r="E30" i="16" l="1"/>
  <c r="E21" i="16"/>
  <c r="E18" i="16"/>
  <c r="D102" i="45"/>
  <c r="E27" i="16" l="1"/>
  <c r="E24" i="16"/>
  <c r="D85" i="45"/>
  <c r="D32" i="45" s="1"/>
  <c r="D21" i="45" s="1"/>
  <c r="D36" i="45" s="1"/>
  <c r="E36" i="16" l="1"/>
  <c r="E37" i="16" s="1"/>
  <c r="E42" i="16" s="1"/>
  <c r="E43" i="16" s="1"/>
  <c r="D40" i="45"/>
  <c r="E32" i="36"/>
  <c r="G32" i="36" s="1"/>
  <c r="D52" i="45" l="1"/>
  <c r="M52" i="40" l="1"/>
  <c r="L23" i="40"/>
  <c r="L15" i="40"/>
  <c r="F24" i="46"/>
  <c r="F16" i="46"/>
  <c r="F49" i="46"/>
  <c r="E49" i="46"/>
  <c r="F30" i="46"/>
  <c r="L37" i="40" l="1"/>
  <c r="L41" i="40" s="1"/>
  <c r="L53" i="40" s="1"/>
  <c r="M53" i="40" s="1"/>
  <c r="F13" i="46"/>
  <c r="F6" i="46"/>
  <c r="C40" i="46" l="1"/>
  <c r="D11" i="46"/>
  <c r="D8" i="46"/>
  <c r="D5" i="46"/>
  <c r="D40" i="46" l="1"/>
  <c r="D63" i="46" l="1"/>
  <c r="D68" i="46" s="1"/>
  <c r="C63" i="46"/>
  <c r="C68" i="46" s="1"/>
  <c r="E40" i="46"/>
  <c r="M41" i="40"/>
  <c r="M40" i="40"/>
  <c r="M39" i="40"/>
  <c r="M38" i="40"/>
  <c r="M37" i="40"/>
  <c r="M36" i="40"/>
  <c r="M35" i="40"/>
  <c r="M34" i="40"/>
  <c r="M33" i="40"/>
  <c r="M32" i="40"/>
  <c r="M31" i="40"/>
  <c r="M30" i="40"/>
  <c r="M29" i="40"/>
  <c r="M28" i="40"/>
  <c r="M27" i="40"/>
  <c r="M26" i="40"/>
  <c r="M25" i="40"/>
  <c r="M24" i="40"/>
  <c r="M23" i="40"/>
  <c r="M22" i="40"/>
  <c r="M21" i="40"/>
  <c r="M20" i="40"/>
  <c r="M19" i="40"/>
  <c r="M18" i="40"/>
  <c r="M17" i="40"/>
  <c r="M16" i="40"/>
  <c r="M15" i="40"/>
  <c r="M14" i="40"/>
  <c r="M13" i="40"/>
  <c r="M12" i="40"/>
  <c r="M11" i="40"/>
  <c r="M10" i="40"/>
  <c r="M9" i="40" l="1"/>
  <c r="I53" i="40"/>
  <c r="I52" i="40"/>
  <c r="I51" i="40"/>
  <c r="I50" i="40"/>
  <c r="I49" i="40"/>
  <c r="I48" i="40"/>
  <c r="I47" i="40"/>
  <c r="I46" i="40"/>
  <c r="I45" i="40"/>
  <c r="I44" i="40"/>
  <c r="I43" i="40"/>
  <c r="I42" i="40"/>
  <c r="I41" i="40"/>
  <c r="I40" i="40"/>
  <c r="I39" i="40"/>
  <c r="I38" i="40"/>
  <c r="I37" i="40"/>
  <c r="I36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I12" i="40"/>
  <c r="I11" i="40"/>
  <c r="I10" i="40"/>
  <c r="I9" i="40"/>
  <c r="E52" i="40" l="1"/>
  <c r="E51" i="40"/>
  <c r="E50" i="40"/>
  <c r="E49" i="40"/>
  <c r="E48" i="40"/>
  <c r="E47" i="40"/>
  <c r="E46" i="40"/>
  <c r="E45" i="40"/>
  <c r="E44" i="40"/>
  <c r="E43" i="40"/>
  <c r="E42" i="40"/>
  <c r="E41" i="40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2" i="40"/>
  <c r="E21" i="40"/>
  <c r="E20" i="40"/>
  <c r="E19" i="40"/>
  <c r="E18" i="40"/>
  <c r="E17" i="40"/>
  <c r="E16" i="40"/>
  <c r="E14" i="40"/>
  <c r="E13" i="40"/>
  <c r="E12" i="40"/>
  <c r="E11" i="40"/>
  <c r="E10" i="40"/>
  <c r="E9" i="40"/>
  <c r="G53" i="6"/>
  <c r="G52" i="6"/>
  <c r="F11" i="46" l="1"/>
  <c r="F63" i="46"/>
  <c r="E63" i="46" l="1"/>
  <c r="E68" i="46" s="1"/>
  <c r="C102" i="45" l="1"/>
  <c r="C85" i="45"/>
  <c r="C52" i="45" l="1"/>
  <c r="B11" i="44" l="1"/>
  <c r="C11" i="44" s="1"/>
  <c r="D23" i="40" l="1"/>
  <c r="E23" i="40" s="1"/>
  <c r="D53" i="40" l="1"/>
  <c r="E53" i="40" s="1"/>
  <c r="D15" i="40"/>
  <c r="E15" i="40" s="1"/>
  <c r="E10" i="36" l="1"/>
  <c r="E21" i="36"/>
  <c r="E20" i="36"/>
  <c r="E19" i="36"/>
  <c r="E18" i="36"/>
  <c r="E17" i="36"/>
  <c r="E16" i="36"/>
  <c r="E15" i="36"/>
  <c r="E14" i="36"/>
  <c r="E13" i="36"/>
  <c r="E12" i="36"/>
  <c r="E11" i="36"/>
  <c r="E22" i="36" l="1"/>
  <c r="E36" i="36" l="1"/>
  <c r="H39" i="7" l="1"/>
  <c r="H31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B9" i="7"/>
  <c r="D9" i="7" s="1"/>
  <c r="E9" i="7" s="1"/>
  <c r="F9" i="7" s="1"/>
  <c r="G9" i="7" s="1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B8" i="6"/>
  <c r="C8" i="6" s="1"/>
  <c r="D8" i="6" s="1"/>
  <c r="E8" i="6" s="1"/>
  <c r="F8" i="6" s="1"/>
  <c r="G54" i="6" l="1"/>
  <c r="H47" i="7"/>
  <c r="H30" i="7"/>
  <c r="G51" i="6"/>
  <c r="F5" i="46" l="1"/>
  <c r="F40" i="46" l="1"/>
  <c r="F68" i="46" s="1"/>
</calcChain>
</file>

<file path=xl/sharedStrings.xml><?xml version="1.0" encoding="utf-8"?>
<sst xmlns="http://schemas.openxmlformats.org/spreadsheetml/2006/main" count="972" uniqueCount="559">
  <si>
    <t>Экономист</t>
  </si>
  <si>
    <t>1.</t>
  </si>
  <si>
    <t>2.</t>
  </si>
  <si>
    <t>3.</t>
  </si>
  <si>
    <t>7.</t>
  </si>
  <si>
    <t>Единица измерения</t>
  </si>
  <si>
    <t>км</t>
  </si>
  <si>
    <t>чел.</t>
  </si>
  <si>
    <t>Итого</t>
  </si>
  <si>
    <t>№ п.п.</t>
  </si>
  <si>
    <t>Наименование</t>
  </si>
  <si>
    <t xml:space="preserve">Напряжение, кВ </t>
  </si>
  <si>
    <t>Количество условных единиц (у) на единицу измерения</t>
  </si>
  <si>
    <t>Количество единиц измерения</t>
  </si>
  <si>
    <t>Объем условных единиц</t>
  </si>
  <si>
    <t>у/ед.изм.</t>
  </si>
  <si>
    <t>ед.изм.</t>
  </si>
  <si>
    <t>у</t>
  </si>
  <si>
    <t>L1</t>
  </si>
  <si>
    <t>L2</t>
  </si>
  <si>
    <t>L3</t>
  </si>
  <si>
    <t>7=5*6</t>
  </si>
  <si>
    <t>Подстанция</t>
  </si>
  <si>
    <t>П/ст</t>
  </si>
  <si>
    <t>400-500</t>
  </si>
  <si>
    <t>110-150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</si>
  <si>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</si>
  <si>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</si>
  <si>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1-20</t>
  </si>
  <si>
    <t>Воздушный выключатель</t>
  </si>
  <si>
    <t>3 фазы</t>
  </si>
  <si>
    <t>Масляный (вакуумный) выключатель</t>
  </si>
  <si>
    <t xml:space="preserve"> - " -</t>
  </si>
  <si>
    <t>Отделитель с короткозамыкателем</t>
  </si>
  <si>
    <t>Выключатель нагрузки</t>
  </si>
  <si>
    <t>Синхронный компенсатор мощн. до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</si>
  <si>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</si>
  <si>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</si>
  <si>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</si>
  <si>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</si>
  <si>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</si>
  <si>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</si>
  <si>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</si>
  <si>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</si>
  <si>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 xml:space="preserve">Однотрансфор-маторная подстанция 34/0,4 кВ </t>
  </si>
  <si>
    <t>п/ст</t>
  </si>
  <si>
    <t>14.</t>
  </si>
  <si>
    <t>ВН</t>
  </si>
  <si>
    <t>СН1</t>
  </si>
  <si>
    <t>СН2</t>
  </si>
  <si>
    <t>НН</t>
  </si>
  <si>
    <t>ЛЭП</t>
  </si>
  <si>
    <t>Количество цепей на опоре</t>
  </si>
  <si>
    <t>Материал опор</t>
  </si>
  <si>
    <t>Количество условных единиц (у) на 100 км трассы ЛЭП</t>
  </si>
  <si>
    <t>Протяженность</t>
  </si>
  <si>
    <t>у/100км</t>
  </si>
  <si>
    <t>7 = 5 * 6 /100</t>
  </si>
  <si>
    <t>ВЛЭП</t>
  </si>
  <si>
    <t>-</t>
  </si>
  <si>
    <t>металл</t>
  </si>
  <si>
    <t>400_500</t>
  </si>
  <si>
    <t>ж/бетон</t>
  </si>
  <si>
    <t>дерево</t>
  </si>
  <si>
    <t>110_150</t>
  </si>
  <si>
    <t>КЛЭП</t>
  </si>
  <si>
    <t xml:space="preserve">ВН, всего </t>
  </si>
  <si>
    <t xml:space="preserve"> 1 - 20 </t>
  </si>
  <si>
    <t xml:space="preserve">1_20 </t>
  </si>
  <si>
    <t>дерево на ж/б пасынках</t>
  </si>
  <si>
    <t>ж/бетон, металл</t>
  </si>
  <si>
    <t xml:space="preserve"> 20 -35</t>
  </si>
  <si>
    <t>20_35</t>
  </si>
  <si>
    <t xml:space="preserve"> 3 - 10</t>
  </si>
  <si>
    <t xml:space="preserve"> 3_10</t>
  </si>
  <si>
    <t>СН-1, всего</t>
  </si>
  <si>
    <t>СН-2, всего</t>
  </si>
  <si>
    <t xml:space="preserve">0,4 кВ </t>
  </si>
  <si>
    <t>0,4</t>
  </si>
  <si>
    <t xml:space="preserve">до 1 кВ </t>
  </si>
  <si>
    <t xml:space="preserve">_1 </t>
  </si>
  <si>
    <t>НН, всего</t>
  </si>
  <si>
    <t xml:space="preserve">Объем воздушных линий электропередач (ВЛЭП) и кабельных линий электропередач (КЛЭП) в условных единицах в зависимост от протяженности, напряжения, конструктивного использования и материала опор. </t>
  </si>
  <si>
    <t xml:space="preserve">Объем подстанций 35-1150 кВ, трансформаторных подстанций (ТП), комплексных трансформаторных подстанций (КТП) и распределительных пунктов(РП) 0,4-20 кВ в условных единицах. </t>
  </si>
  <si>
    <t>Таблица №2.2</t>
  </si>
  <si>
    <t>таблица 2.1</t>
  </si>
  <si>
    <t>п.п.</t>
  </si>
  <si>
    <t>Показатели</t>
  </si>
  <si>
    <t>Всего</t>
  </si>
  <si>
    <t>4.</t>
  </si>
  <si>
    <t>МУП "Электросеть"</t>
  </si>
  <si>
    <t>Наименование показателя</t>
  </si>
  <si>
    <t>Командировочные расходы</t>
  </si>
  <si>
    <t>5.</t>
  </si>
  <si>
    <t>Услуги связи</t>
  </si>
  <si>
    <t>6.</t>
  </si>
  <si>
    <t>8.</t>
  </si>
  <si>
    <t>9.</t>
  </si>
  <si>
    <t>10.</t>
  </si>
  <si>
    <t>11.</t>
  </si>
  <si>
    <t>№</t>
  </si>
  <si>
    <t>Ед. измер.</t>
  </si>
  <si>
    <t xml:space="preserve">Численность </t>
  </si>
  <si>
    <t xml:space="preserve">Численность ППП </t>
  </si>
  <si>
    <t>Средняя оплата труда</t>
  </si>
  <si>
    <t>2.1.</t>
  </si>
  <si>
    <t xml:space="preserve">Тарифная ставка рабочего 1 разряда </t>
  </si>
  <si>
    <t>руб.</t>
  </si>
  <si>
    <t>2.2.</t>
  </si>
  <si>
    <t>Дефлятор по заработной плате</t>
  </si>
  <si>
    <t>2.3.</t>
  </si>
  <si>
    <t xml:space="preserve">Среднемесячная тарифная ставка 1-го ППП </t>
  </si>
  <si>
    <t>2.4.</t>
  </si>
  <si>
    <t xml:space="preserve">Средняя ступень оплаты </t>
  </si>
  <si>
    <t>2.5.</t>
  </si>
  <si>
    <t>Тарифный коэффициент, соответствующий ступени по оплате труда</t>
  </si>
  <si>
    <t>2.6.</t>
  </si>
  <si>
    <t>Среднемесячная тарифная ставка ППП с учетом дефлятора</t>
  </si>
  <si>
    <t>2.7.</t>
  </si>
  <si>
    <t>Выплаты, связанные с режимом работы, с условиями труда 1 работника</t>
  </si>
  <si>
    <t>2.7.1.</t>
  </si>
  <si>
    <t>процент выплаты</t>
  </si>
  <si>
    <t>%</t>
  </si>
  <si>
    <t>2.7.2.</t>
  </si>
  <si>
    <t>сумма выплат</t>
  </si>
  <si>
    <t>2.8.</t>
  </si>
  <si>
    <t>Текущее премирование</t>
  </si>
  <si>
    <t>2.8.1.</t>
  </si>
  <si>
    <t>2.8.2.</t>
  </si>
  <si>
    <t>2.9.</t>
  </si>
  <si>
    <t>Прочие выплаты ()</t>
  </si>
  <si>
    <t>2.9.1.</t>
  </si>
  <si>
    <t>2.9.2.</t>
  </si>
  <si>
    <t>Прочие выплаты</t>
  </si>
  <si>
    <t>2.10.</t>
  </si>
  <si>
    <t>Вознаграждение за выслугу лет</t>
  </si>
  <si>
    <t>2.10.1.</t>
  </si>
  <si>
    <t>2.10.2.</t>
  </si>
  <si>
    <t>2.11.</t>
  </si>
  <si>
    <t>Выплаты по итогам года</t>
  </si>
  <si>
    <t>2.11.1.</t>
  </si>
  <si>
    <t>2.11.2.</t>
  </si>
  <si>
    <t>2.12.</t>
  </si>
  <si>
    <t>Выплаты по районному коэффициенту и северным надбавкам</t>
  </si>
  <si>
    <t>2.12.1.</t>
  </si>
  <si>
    <t>2.12.2.</t>
  </si>
  <si>
    <t>2.13.</t>
  </si>
  <si>
    <t>Итого среднемесячная оплата труда на 1 работника</t>
  </si>
  <si>
    <t xml:space="preserve">3. </t>
  </si>
  <si>
    <t>Расчет средств на оплату труда ППП (включенного в себестоимость)</t>
  </si>
  <si>
    <t>3.1.</t>
  </si>
  <si>
    <t>тыс.руб.</t>
  </si>
  <si>
    <t>3.2.</t>
  </si>
  <si>
    <t>3.3.</t>
  </si>
  <si>
    <t>Итого средств на оплату труда ППП</t>
  </si>
  <si>
    <t>Ср.месячная заработная плата с учетом проезда в отпуск</t>
  </si>
  <si>
    <t>Рост ср.мес.зарплаты к учтенной в тарифе</t>
  </si>
  <si>
    <t>Сырье, основные материалы</t>
  </si>
  <si>
    <t>из них на ремонт</t>
  </si>
  <si>
    <t>Топливо на технологические цели</t>
  </si>
  <si>
    <t xml:space="preserve">Энергия </t>
  </si>
  <si>
    <t>5.1.</t>
  </si>
  <si>
    <t>электрическая</t>
  </si>
  <si>
    <t>5.2.</t>
  </si>
  <si>
    <t>тепловая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</si>
  <si>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</si>
  <si>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</si>
  <si>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</si>
  <si>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 всего , в том числе:</t>
  </si>
  <si>
    <t>9.1.</t>
  </si>
  <si>
    <t>9.2.</t>
  </si>
  <si>
    <t>9.3.</t>
  </si>
  <si>
    <t>Плата за предельно допустимые выбросы (сбросы)</t>
  </si>
  <si>
    <t>9.7.</t>
  </si>
  <si>
    <t>Непроизводственные расходы (налоги и другие обязательные платежи и сборы)</t>
  </si>
  <si>
    <t>9.7.1.</t>
  </si>
  <si>
    <t>Налог на землю</t>
  </si>
  <si>
    <t>9.7.2.</t>
  </si>
  <si>
    <t>Налог транспортный</t>
  </si>
  <si>
    <t>9.7.3.</t>
  </si>
  <si>
    <t>налог на имущество</t>
  </si>
  <si>
    <t>9.8.</t>
  </si>
  <si>
    <t xml:space="preserve"> </t>
  </si>
  <si>
    <t>Итого расходов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</si>
  <si>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</si>
  <si>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</si>
  <si>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</si>
  <si>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</si>
  <si>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 xml:space="preserve">Расчетные расходы по производству продукции </t>
  </si>
  <si>
    <t>в том числе:</t>
  </si>
  <si>
    <t>13.1.</t>
  </si>
  <si>
    <t xml:space="preserve">   - электрическая энергия</t>
  </si>
  <si>
    <t>13.1.1.</t>
  </si>
  <si>
    <t>производство электроэнергии</t>
  </si>
  <si>
    <t>13.1.2.</t>
  </si>
  <si>
    <t>покупная электроэнергия</t>
  </si>
  <si>
    <t>13.1.3.</t>
  </si>
  <si>
    <t>передача электроэнергии без абонплаты</t>
  </si>
  <si>
    <t>13.2.</t>
  </si>
  <si>
    <t xml:space="preserve">   - тепловая энергия</t>
  </si>
  <si>
    <t>13.2.1.</t>
  </si>
  <si>
    <t>производство теплоэнергии</t>
  </si>
  <si>
    <t>13.2.2.</t>
  </si>
  <si>
    <t>покупная теплоэнергия</t>
  </si>
  <si>
    <t>13.2.3.</t>
  </si>
  <si>
    <t>передача теплоэнергии</t>
  </si>
  <si>
    <t>13.3.</t>
  </si>
  <si>
    <t xml:space="preserve">   - прочая продукция</t>
  </si>
  <si>
    <t>прибыль</t>
  </si>
  <si>
    <t>НВВ</t>
  </si>
  <si>
    <t>№ п/п</t>
  </si>
  <si>
    <t>ПОДКОНТРОЛЬНЫЕ РАСХОДЫ</t>
  </si>
  <si>
    <t>Расходы на оплату труда</t>
  </si>
  <si>
    <t>Прочие расходы, всего в том числе:</t>
  </si>
  <si>
    <t>Другие прочие расходы</t>
  </si>
  <si>
    <t>ИТОГО ПОДКОНТРОЛЬНЫЕ РАСХОДЫ</t>
  </si>
  <si>
    <t>Неподконтрольные расходы</t>
  </si>
  <si>
    <t>Прочие неподконтрольные расходы - всего</t>
  </si>
  <si>
    <t>услуги банка</t>
  </si>
  <si>
    <t>ИТОГО НЕПОДКОНРОЛЬНЫЕ РАСХОДЫ</t>
  </si>
  <si>
    <t xml:space="preserve"> Прибыль на развитие производства</t>
  </si>
  <si>
    <t>в том числе</t>
  </si>
  <si>
    <t xml:space="preserve">капитальные вложения </t>
  </si>
  <si>
    <t xml:space="preserve"> Прибыль на социальное развитие</t>
  </si>
  <si>
    <t>капитальные вложения</t>
  </si>
  <si>
    <t>доставка работников к месту работы</t>
  </si>
  <si>
    <t>оплата за лечение</t>
  </si>
  <si>
    <t>оплата путевок в санатории и лагеря</t>
  </si>
  <si>
    <t>резерв денежных средств на питание при ликвидации аварийных ситуаций</t>
  </si>
  <si>
    <t>оплата новогодних подарков</t>
  </si>
  <si>
    <t>проведение новогоднего утренника</t>
  </si>
  <si>
    <t>спецпитание работникам с вредными условиями труда</t>
  </si>
  <si>
    <t>выплата пособия матерям по уходу за детьми</t>
  </si>
  <si>
    <t>Прибыль на поощрение</t>
  </si>
  <si>
    <t>пособие при выходе на пенсию</t>
  </si>
  <si>
    <t>премирование к праздничным датам</t>
  </si>
  <si>
    <t>проведение  профессиональных праздников и вечеров</t>
  </si>
  <si>
    <t xml:space="preserve">оказание мат.помощи </t>
  </si>
  <si>
    <t>ритуальные услуги</t>
  </si>
  <si>
    <t>Дивиденды по акциям</t>
  </si>
  <si>
    <t>Прибыль на прочие цели</t>
  </si>
  <si>
    <t xml:space="preserve"> % за пользование  кредитом</t>
  </si>
  <si>
    <t>командировочные сверх нормы</t>
  </si>
  <si>
    <t>резервный фонд</t>
  </si>
  <si>
    <t>проездные без документов</t>
  </si>
  <si>
    <t>другие(проездные без документов)</t>
  </si>
  <si>
    <t>Прибыль, облагаемая налогом</t>
  </si>
  <si>
    <t>Налоги,сборы и платежи, всего</t>
  </si>
  <si>
    <t xml:space="preserve"> -на прибыль</t>
  </si>
  <si>
    <t xml:space="preserve">Прибыль (убыток)от товарной продукции, в том числе: </t>
  </si>
  <si>
    <t>Транспортировка</t>
  </si>
  <si>
    <t>приообретение подарков к юбилеям</t>
  </si>
  <si>
    <t xml:space="preserve">Ср.месячная заработная плата учтенная </t>
  </si>
  <si>
    <t>Работы и услуги производственного  характера</t>
  </si>
  <si>
    <t>Необходимая валовая выручка на содержание электрических сетей МУП "Электросеть"</t>
  </si>
  <si>
    <t>Директор МУП "Электросеть"                                           Измайлова Л.М.</t>
  </si>
  <si>
    <t>оплата проезда к месту отдыха иждевенцы дети</t>
  </si>
  <si>
    <t>"О государственных гарантиях и компенсациях для лиц  работающих и проживающих в районах крайнего севера и приравненных к ним местностях "</t>
  </si>
  <si>
    <t>Проезд в отпуск  1 раз в 2 года  согласно ФЗ №50 от 02.04.2014 года.</t>
  </si>
  <si>
    <t xml:space="preserve">Расчет расходов на оплату труда </t>
  </si>
  <si>
    <t>Расчетный период</t>
  </si>
  <si>
    <t>Величина заявленной мощности МВ т</t>
  </si>
  <si>
    <t>Ставка руб. /МВт мес.</t>
  </si>
  <si>
    <t>Стоимость услуги по передаче 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</si>
  <si>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</si>
  <si>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</si>
  <si>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</si>
  <si>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</si>
  <si>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</si>
  <si>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</si>
  <si>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</si>
  <si>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</si>
  <si>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</si>
  <si>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</si>
  <si>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</si>
  <si>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</si>
  <si>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без НДС</t>
  </si>
  <si>
    <t>Норматив потерь э/э в сетях ФСК %</t>
  </si>
  <si>
    <t>Объем потерь э/э в сетях ФСК %</t>
  </si>
  <si>
    <t>Стоимость потерь э/э в рублях</t>
  </si>
  <si>
    <t xml:space="preserve">Плановая стоимость услуг по передаче электрической энергии </t>
  </si>
  <si>
    <t>ИТОГО</t>
  </si>
  <si>
    <t>Экономист МУП "Электросеть"                             Вернигорова А.Г.</t>
  </si>
  <si>
    <t>таб.1.16</t>
  </si>
  <si>
    <t>3</t>
  </si>
  <si>
    <t>А.Г.Вернигорова</t>
  </si>
  <si>
    <t>С-но специальной оценке условий труда</t>
  </si>
  <si>
    <t>ночные. с/урочные .праздничные</t>
  </si>
  <si>
    <t>учебный оттпуск,разъездной,б/лист</t>
  </si>
  <si>
    <t>ГСМ</t>
  </si>
  <si>
    <t>Смета расходов, связанных с передачей электрической энергии по сетям МУП "Электросеть"</t>
  </si>
  <si>
    <t>МУП Электросеть</t>
  </si>
  <si>
    <t>Вспомогательные материалы</t>
  </si>
  <si>
    <t>Средства на  страхование</t>
  </si>
  <si>
    <t>9.4.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</si>
  <si>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энергии(мощности), передаче электрической энергии апо единой национальной (общероссийской) электрической сети</t>
  </si>
  <si>
    <t>9.5.</t>
  </si>
  <si>
    <t>Отчисления в ремонтный фонд (в случае его формирования)</t>
  </si>
  <si>
    <t>9.6.</t>
  </si>
  <si>
    <t>Водный налог (ГЭС)</t>
  </si>
  <si>
    <t>Другие затраты, относимые на себестоимость продукции,всего</t>
  </si>
  <si>
    <t>в т.ч.</t>
  </si>
  <si>
    <t>9.8.1.</t>
  </si>
  <si>
    <t>Арендная плата</t>
  </si>
  <si>
    <t xml:space="preserve"> 9 мес.2014 год план</t>
  </si>
  <si>
    <t>Комитет по Ценам</t>
  </si>
  <si>
    <t xml:space="preserve"> 9 мес.2014 год факт</t>
  </si>
  <si>
    <t>Транспортный налог</t>
  </si>
  <si>
    <t>Налог на имущество</t>
  </si>
  <si>
    <t>Расходы на оплату услуг связи</t>
  </si>
  <si>
    <t>Расходы на информационные услуги</t>
  </si>
  <si>
    <t>Расходы на вневедомственную охрану</t>
  </si>
  <si>
    <t>Подготовка кадров(семинары, курсы)</t>
  </si>
  <si>
    <t>Вывоз мусора</t>
  </si>
  <si>
    <t>Коммунальное хозяйство( долевое участие в содержании и ремонте общедомового имущества)</t>
  </si>
  <si>
    <t>Проведение медосмотров</t>
  </si>
  <si>
    <t>Расшифровка по материалам и прочим материалам</t>
  </si>
  <si>
    <t>Вспомогательные материалы, в том числе</t>
  </si>
  <si>
    <t>Запасные части для транспортного средства</t>
  </si>
  <si>
    <t>Расходы на приборы учета</t>
  </si>
  <si>
    <t>Расходы на ГСМ</t>
  </si>
  <si>
    <t>Другие затраты :Спецодежда</t>
  </si>
  <si>
    <t>Анализ экономической обоснованности величины расходов из прибыли</t>
  </si>
  <si>
    <t>Аренда жилья</t>
  </si>
  <si>
    <t>финансовый результат</t>
  </si>
  <si>
    <t>Аренда спецтехники</t>
  </si>
  <si>
    <t>всего</t>
  </si>
  <si>
    <t>Ежегодные права на использование программ для ПК, лицензии, электронные ключи</t>
  </si>
  <si>
    <t>Целевые средства на НИОКР(расчет потерь, энергоаудит, инвестиционная программа)</t>
  </si>
  <si>
    <t xml:space="preserve">2016 год </t>
  </si>
  <si>
    <t>Детализация</t>
  </si>
  <si>
    <t xml:space="preserve"> финансового результата  МУП "Электросеть" </t>
  </si>
  <si>
    <t>В том числе:</t>
  </si>
  <si>
    <t xml:space="preserve">Технические условия </t>
  </si>
  <si>
    <t>Прочие</t>
  </si>
  <si>
    <t>Экономист МУП "Электросеть"                                        Вернигорова А.Г.</t>
  </si>
  <si>
    <t>Расшифровка по другим затратам, относимым на себестоимость продукции (п.9.8.)</t>
  </si>
  <si>
    <t>Средства на  страхование автотехники</t>
  </si>
  <si>
    <t>Обсл.программы "Табличный расчет зарплаты"</t>
  </si>
  <si>
    <t xml:space="preserve">2015 год </t>
  </si>
  <si>
    <t>2.1</t>
  </si>
  <si>
    <t>Материальные затраты</t>
  </si>
  <si>
    <t>2.1.1</t>
  </si>
  <si>
    <t>2.1.1.1</t>
  </si>
  <si>
    <t>2.1.1.2</t>
  </si>
  <si>
    <t>прочие вспомогательные материалы</t>
  </si>
  <si>
    <r>
      <t xml:space="preserve">Работы и услуги производственного характера </t>
    </r>
    <r>
      <rPr>
        <sz val="8"/>
        <color theme="1"/>
        <rFont val="Calibri"/>
        <family val="2"/>
        <charset val="204"/>
        <scheme val="minor"/>
      </rPr>
      <t>(в т.ч. услуги сторонних организаций по содержанию сетей и распределительных устройств)</t>
    </r>
  </si>
  <si>
    <t>2.1.3</t>
  </si>
  <si>
    <t>2.2</t>
  </si>
  <si>
    <t>2.3</t>
  </si>
  <si>
    <t>2.3.1</t>
  </si>
  <si>
    <t xml:space="preserve">Ремонт основных фондов </t>
  </si>
  <si>
    <t>2.3.2</t>
  </si>
  <si>
    <t>Работы и услуги непроизводственного характера</t>
  </si>
  <si>
    <t>2.3.2.1</t>
  </si>
  <si>
    <t>Расходы на охрану и пожарную безопасность</t>
  </si>
  <si>
    <t>Расходы на услуги коммунального хозяйства</t>
  </si>
  <si>
    <t>Расходы на юридические услуги</t>
  </si>
  <si>
    <t>Расходы на консультационные услуги</t>
  </si>
  <si>
    <t>Расходы на аудиторские услуги</t>
  </si>
  <si>
    <t>Расходы на сертификацию</t>
  </si>
  <si>
    <t>Транспортные услуги</t>
  </si>
  <si>
    <t>Расходы на командировки и представительские расходы</t>
  </si>
  <si>
    <t>Расходы на обеспечение нормальных условий труда мер по технике безопасности</t>
  </si>
  <si>
    <t>Расходы на подготовку кадров</t>
  </si>
  <si>
    <t>Расходы на страхование</t>
  </si>
  <si>
    <t>Целевые средства на НИОКР</t>
  </si>
  <si>
    <t>Содержание управляющей</t>
  </si>
  <si>
    <t>2.3.2.2</t>
  </si>
  <si>
    <t>2.3.2.3</t>
  </si>
  <si>
    <t>2.3.2.4</t>
  </si>
  <si>
    <t>2.3.2.5</t>
  </si>
  <si>
    <t>2.3.2.6</t>
  </si>
  <si>
    <t>2.3.2.7</t>
  </si>
  <si>
    <t>2.3.2.8</t>
  </si>
  <si>
    <t>2.3.2.9</t>
  </si>
  <si>
    <t>2.3.2.10</t>
  </si>
  <si>
    <t>2.3.2.11</t>
  </si>
  <si>
    <t>2.3.2.12</t>
  </si>
  <si>
    <t>2.3.2.13</t>
  </si>
  <si>
    <t>2.3.2.14</t>
  </si>
  <si>
    <t>2.3.2.15</t>
  </si>
  <si>
    <t>2.3.2.16</t>
  </si>
  <si>
    <t>Внереализационные расходы</t>
  </si>
  <si>
    <t>Расходы на услуги банков</t>
  </si>
  <si>
    <t>% за пользование кредитом</t>
  </si>
  <si>
    <t>Расходы на формирование резервов по сомнительным долгам</t>
  </si>
  <si>
    <t>Другие внереализационные расходы</t>
  </si>
  <si>
    <t>3.1</t>
  </si>
  <si>
    <t>3.2</t>
  </si>
  <si>
    <t>3.3</t>
  </si>
  <si>
    <t>3.4</t>
  </si>
  <si>
    <t>4</t>
  </si>
  <si>
    <t>Расходы, не учитываемые в целях налогообложения</t>
  </si>
  <si>
    <t>Дивиденды</t>
  </si>
  <si>
    <t>Денежные выплаты социального характера ( по коллективному договору)</t>
  </si>
  <si>
    <t>Резервный фонд</t>
  </si>
  <si>
    <t>Прочие расходы их прибыли</t>
  </si>
  <si>
    <t>4.1</t>
  </si>
  <si>
    <t>4.2</t>
  </si>
  <si>
    <t>4.3</t>
  </si>
  <si>
    <t>4.4</t>
  </si>
  <si>
    <t>5.1</t>
  </si>
  <si>
    <t>Оплата услуг ОАО "ФСК ЕЭС"</t>
  </si>
  <si>
    <t>5.2</t>
  </si>
  <si>
    <t>Энергия на хоз. нужды</t>
  </si>
  <si>
    <t>Теплоэнергия</t>
  </si>
  <si>
    <t>Плата за за аренду имущества и лизинг</t>
  </si>
  <si>
    <t>5.3</t>
  </si>
  <si>
    <t>5.4</t>
  </si>
  <si>
    <t>5.5</t>
  </si>
  <si>
    <t>Налоги ,всего, в т.ч.:</t>
  </si>
  <si>
    <t>Плата за землю</t>
  </si>
  <si>
    <t>Прочие налоги сборы</t>
  </si>
  <si>
    <t>5.5.1</t>
  </si>
  <si>
    <t>5.5.2</t>
  </si>
  <si>
    <t>5.5.3</t>
  </si>
  <si>
    <t>5.5.4</t>
  </si>
  <si>
    <t>5.6</t>
  </si>
  <si>
    <t>Отчисления на социальные нужды (ЕСН)</t>
  </si>
  <si>
    <t>5.7</t>
  </si>
  <si>
    <t>Налог на прибыль</t>
  </si>
  <si>
    <t>Амортизация</t>
  </si>
  <si>
    <t>Амортизация, учитываемая при налогообложении</t>
  </si>
  <si>
    <t>Амортизация, не учитываемая при налогообложении</t>
  </si>
  <si>
    <t>Погашение заемных средств</t>
  </si>
  <si>
    <t>Капитальные вложения</t>
  </si>
  <si>
    <t>5.8</t>
  </si>
  <si>
    <t>5.9</t>
  </si>
  <si>
    <t>5.10</t>
  </si>
  <si>
    <t>5.10.1</t>
  </si>
  <si>
    <t>5.10.2</t>
  </si>
  <si>
    <t>5.11</t>
  </si>
  <si>
    <t>5.12</t>
  </si>
  <si>
    <t>Расходы, связанные с компенсацией незапланированных расходов / полученный избыток</t>
  </si>
  <si>
    <t>6</t>
  </si>
  <si>
    <t>7</t>
  </si>
  <si>
    <t>Необходимая валовая выручка , всего</t>
  </si>
  <si>
    <t>2015 год факт</t>
  </si>
  <si>
    <t>Выпадающие доходы от технологического присоединения</t>
  </si>
  <si>
    <t>Целевые средства на НИОКР(расчет потерь, энергоаудит, разработка инвестиционной программы))</t>
  </si>
  <si>
    <t xml:space="preserve">Программа 1С:Бухгалтерия с ИТС  </t>
  </si>
  <si>
    <t>Расчет по  договору №959/п ОАО "ФСК ЕЭС" (Доп.соглашение № 4)</t>
  </si>
  <si>
    <t xml:space="preserve">на содержание объектов электросетевого хозяйства, </t>
  </si>
  <si>
    <t>входящих в ЕНЭС</t>
  </si>
  <si>
    <t xml:space="preserve">Плановая стоимость нормативных потерь (технологического расхода электроэнергии   </t>
  </si>
  <si>
    <t>Холодная вода и водоотведение</t>
  </si>
  <si>
    <t>Проезд кместу работыв п. Кенада</t>
  </si>
  <si>
    <t>проезд в отпуск иждивенцев</t>
  </si>
  <si>
    <t>Услуги по доставке материалов</t>
  </si>
  <si>
    <t>9.9.</t>
  </si>
  <si>
    <t>предприятия МУП "Электросеть"</t>
  </si>
  <si>
    <t>2018 год.</t>
  </si>
  <si>
    <t>2018 год</t>
  </si>
  <si>
    <t>Факт 2015 года</t>
  </si>
  <si>
    <t>Отклонения</t>
  </si>
  <si>
    <t>2016 год-план</t>
  </si>
  <si>
    <t>2015год- план</t>
  </si>
  <si>
    <t>Факт 2016 года</t>
  </si>
  <si>
    <t>2017 год-план</t>
  </si>
  <si>
    <t>Работы и услуги производственного  характера(ремонт авт. +ДИМ)</t>
  </si>
  <si>
    <t>из них на ремонт авт</t>
  </si>
  <si>
    <t>Членский взнос СРО</t>
  </si>
  <si>
    <t>Услуги Почты  (марки и конверты)+подписка</t>
  </si>
  <si>
    <t>Проживание в гостинице</t>
  </si>
  <si>
    <t>Страховой взнос РЕСО</t>
  </si>
  <si>
    <t>Техосмотр автомобилей</t>
  </si>
  <si>
    <t>2016 год факт</t>
  </si>
  <si>
    <t>Доходы от реализации за 2016 год.</t>
  </si>
  <si>
    <t>2019 год</t>
  </si>
  <si>
    <t>Расчет</t>
  </si>
  <si>
    <t>Всего затрат  по ОАО "ФСК" на  2018 год</t>
  </si>
  <si>
    <t>предприятие 2019 год</t>
  </si>
  <si>
    <t>8</t>
  </si>
  <si>
    <t>Факт 2017 года</t>
  </si>
  <si>
    <t>Смета расходов, связанных с передачей электрической энергии по сетям МУП "Электросеть"за 2017 год</t>
  </si>
  <si>
    <t xml:space="preserve"> 2017 год план</t>
  </si>
  <si>
    <t xml:space="preserve"> 2017 год факт</t>
  </si>
  <si>
    <t xml:space="preserve"> 2017 год факт транспортировка</t>
  </si>
  <si>
    <t>Отчет об использовании за 2015-2017 годы</t>
  </si>
  <si>
    <t xml:space="preserve">2017 год </t>
  </si>
  <si>
    <t>2017 год факт</t>
  </si>
  <si>
    <t>в т.ч. мат.помощь</t>
  </si>
  <si>
    <t>в т.ч. проезд в отпуск</t>
  </si>
  <si>
    <t>Замена приборов холодной воды</t>
  </si>
  <si>
    <t>Взнос на кап.ремонт в Фонд кап. ремонта</t>
  </si>
  <si>
    <t>Ремонт помещения управления</t>
  </si>
  <si>
    <t>Услуги по техприсоединению</t>
  </si>
  <si>
    <t>за 2017 год по видам деятельности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</si>
  <si>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на ее транспортировку)</t>
    </r>
    <r>
      <rPr>
        <sz val="11"/>
        <color theme="1"/>
        <rFont val="Calibri"/>
        <family val="2"/>
        <charset val="204"/>
        <scheme val="minor"/>
      </rPr>
      <t xml:space="preserve"> при передаче электрической энергии на 2019 год.</t>
    </r>
  </si>
  <si>
    <t>Прием в сеть э/э МВт*ч</t>
  </si>
  <si>
    <t>Тариф  на оплату потерь руб/МВт*ч (средний по факту за 2017 год)</t>
  </si>
  <si>
    <t>Эксперты 2018 год</t>
  </si>
  <si>
    <t>проезд к месту отдыха на 2019г.( По факту 2017г с индекс.103,7%)</t>
  </si>
  <si>
    <t>Расходы на канцтовары</t>
  </si>
  <si>
    <t>Корректировка НВВ с учетом понижающего(повышающего) коэффициента (КНКi)</t>
  </si>
  <si>
    <t>9..9</t>
  </si>
  <si>
    <t>Денежные выплаты социального характера</t>
  </si>
  <si>
    <t>Фактические расходы на оплату потерь  электроэнергии</t>
  </si>
  <si>
    <t>при транспортировке по сетям МУП "Электросеть"</t>
  </si>
  <si>
    <t>квт.ч</t>
  </si>
  <si>
    <t>норматив. Квт.ч.</t>
  </si>
  <si>
    <t>Тариф норм.</t>
  </si>
  <si>
    <t>сверхнорматив. Квт.ч.</t>
  </si>
  <si>
    <t>Тариф сверхнорм.</t>
  </si>
  <si>
    <t>сумма без НДС</t>
  </si>
  <si>
    <t>ндс</t>
  </si>
  <si>
    <t>Стоимость нормативных потерь без НДС</t>
  </si>
  <si>
    <t>Стоимость сверхнормативных потерьбез НДС</t>
  </si>
  <si>
    <t>Всего, полезный отпуск</t>
  </si>
  <si>
    <t>Одноставочный тариф</t>
  </si>
  <si>
    <t>Доходы (НВВ+потери) по одноставочному тарифу</t>
  </si>
  <si>
    <t>Недополученный доход</t>
  </si>
  <si>
    <t>месяцы</t>
  </si>
  <si>
    <t>тыс квт.ч</t>
  </si>
  <si>
    <t>Доходы (НВВ+потери) по двуставочному тарифу</t>
  </si>
  <si>
    <t>заявл.мощность</t>
  </si>
  <si>
    <t>ставка на содерж.сетей</t>
  </si>
  <si>
    <t>Доходы на содерж.сетей (НВВ)</t>
  </si>
  <si>
    <t>ставка на оплату потерь</t>
  </si>
  <si>
    <t>Доходы на передачу  (потери)</t>
  </si>
  <si>
    <t>недополученных доходов,  за услуги по передаче эл.энергии МУП "Электросеть" за 2017 год</t>
  </si>
  <si>
    <t xml:space="preserve">необходимых средств на установку </t>
  </si>
  <si>
    <t>Наименование работ</t>
  </si>
  <si>
    <t>Стоимость с/но расчету</t>
  </si>
  <si>
    <t>Количество приборов учета</t>
  </si>
  <si>
    <t>Общая стоимость работ</t>
  </si>
  <si>
    <t>Электромонтажные работы по установке интеллектуального технологического учета и УСПД  в 1-трасформаторной подстанции</t>
  </si>
  <si>
    <t>Электромонтажные работы по установке интеллектуального технологического учета и УСПД  в 2-трасформаторной подстанции</t>
  </si>
  <si>
    <t>Электромонтажные работы по установке интеллектуального 1-фазного прибора учета SPLIT</t>
  </si>
  <si>
    <t>Электромонтажные работы по установке интеллектуального 1-фазного прибора учета</t>
  </si>
  <si>
    <t>Электромонтажные работы по установке интеллектуального 3-фазного прибора учета прямого включения</t>
  </si>
  <si>
    <t>Электромонтажные работы по установке интеллектуального  общедомового 3-фазного прибора учета прямого включения</t>
  </si>
  <si>
    <t>Электромонтажные работы по установке интеллектуального  общедомового 3-фазного прибора учета трансформаторного включения</t>
  </si>
  <si>
    <r>
      <rPr>
        <b/>
        <sz val="14"/>
        <color theme="1"/>
        <rFont val="Calibri"/>
        <family val="2"/>
        <charset val="204"/>
        <scheme val="minor"/>
      </rPr>
      <t>интеллектуальных</t>
    </r>
    <r>
      <rPr>
        <b/>
        <sz val="12"/>
        <color theme="1"/>
        <rFont val="Calibri"/>
        <family val="2"/>
        <charset val="204"/>
        <scheme val="minor"/>
      </rPr>
      <t xml:space="preserve"> приборов учета</t>
    </r>
  </si>
  <si>
    <t xml:space="preserve">Эксперты 2019 год </t>
  </si>
  <si>
    <t xml:space="preserve">МУП "Электросеть"2019 год </t>
  </si>
  <si>
    <t>Необходимая валовая выручка на содержание электрических сетей МУП "Электросеть" на 2019 год</t>
  </si>
  <si>
    <t>к-во счетчиков</t>
  </si>
  <si>
    <t>Ванино</t>
  </si>
  <si>
    <t>Октябрьский</t>
  </si>
  <si>
    <t>Токи</t>
  </si>
  <si>
    <t>Дюанка</t>
  </si>
  <si>
    <t>Датта</t>
  </si>
  <si>
    <t>Высокогорный</t>
  </si>
  <si>
    <t>Кенада</t>
  </si>
  <si>
    <t>У-Орочи</t>
  </si>
  <si>
    <t>Одноквартирные дома</t>
  </si>
  <si>
    <t>Двухквартирные дома</t>
  </si>
  <si>
    <t>Трехквартирные дома</t>
  </si>
  <si>
    <t>Четырехквартирные дома</t>
  </si>
  <si>
    <t>Пятиквартирные и более(но не более 8)</t>
  </si>
  <si>
    <t>Многоквартирные дома  (ОБД),  в т.ч.</t>
  </si>
  <si>
    <t>Трехфазный учет прямого включения</t>
  </si>
  <si>
    <t>Трехфазный учет трансформаторного включения</t>
  </si>
  <si>
    <t>Расчет необходимого количества интеллектуальных приборов учета МУП "Электросеть"</t>
  </si>
  <si>
    <t>к-во домов</t>
  </si>
  <si>
    <t>Капитальные вложения (установка интеллектуальных приборов учета)</t>
  </si>
  <si>
    <t xml:space="preserve">Недополученный доход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</si>
</sst>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0.0"/>
    <numFmt numFmtId="166" formatCode="0.00000"/>
  </numFmts>
  <fonts count="3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Franklin Gothic Medium"/>
      <family val="2"/>
      <charset val="204"/>
    </font>
    <font>
      <b/>
      <sz val="10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2" fillId="0" borderId="0" applyBorder="0">
      <alignment horizontal="center" vertical="center" wrapText="1"/>
    </xf>
    <xf numFmtId="0" fontId="14" fillId="0" borderId="11" applyBorder="0">
      <alignment horizontal="center" vertical="center" wrapText="1"/>
    </xf>
    <xf numFmtId="4" fontId="15" fillId="3" borderId="2" applyBorder="0">
      <alignment horizontal="right"/>
    </xf>
    <xf numFmtId="4" fontId="15" fillId="4" borderId="0" applyBorder="0">
      <alignment horizontal="right"/>
    </xf>
    <xf numFmtId="4" fontId="15" fillId="5" borderId="13" applyBorder="0">
      <alignment horizontal="right"/>
    </xf>
    <xf numFmtId="0" fontId="2" fillId="0" borderId="0"/>
    <xf numFmtId="49" fontId="15" fillId="0" borderId="0" applyBorder="0">
      <alignment vertical="top"/>
    </xf>
    <xf numFmtId="43" fontId="10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Border="1"/>
    <xf numFmtId="0" fontId="0" fillId="0" borderId="2" xfId="0" applyBorder="1"/>
    <xf numFmtId="0" fontId="0" fillId="2" borderId="0" xfId="0" applyFill="1"/>
    <xf numFmtId="0" fontId="7" fillId="2" borderId="0" xfId="0" applyFont="1" applyFill="1"/>
    <xf numFmtId="0" fontId="9" fillId="0" borderId="0" xfId="0" applyFont="1"/>
    <xf numFmtId="0" fontId="14" fillId="0" borderId="14" xfId="2" applyBorder="1">
      <alignment horizontal="center" vertical="center" wrapText="1"/>
    </xf>
    <xf numFmtId="0" fontId="14" fillId="0" borderId="15" xfId="2" applyBorder="1">
      <alignment horizontal="center" vertical="center" wrapText="1"/>
    </xf>
    <xf numFmtId="0" fontId="14" fillId="0" borderId="2" xfId="2" applyBorder="1">
      <alignment horizontal="center" vertical="center" wrapText="1"/>
    </xf>
    <xf numFmtId="0" fontId="14" fillId="0" borderId="6" xfId="2" applyBorder="1">
      <alignment horizontal="center" vertical="center" wrapText="1"/>
    </xf>
    <xf numFmtId="0" fontId="14" fillId="0" borderId="5" xfId="2" applyBorder="1">
      <alignment horizontal="center" vertical="center" wrapText="1"/>
    </xf>
    <xf numFmtId="0" fontId="14" fillId="0" borderId="2" xfId="2" applyBorder="1" applyAlignment="1">
      <alignment horizontal="center" vertical="center" wrapText="1"/>
    </xf>
    <xf numFmtId="0" fontId="14" fillId="0" borderId="2" xfId="2" applyFont="1" applyBorder="1">
      <alignment horizontal="center" vertical="center" wrapText="1"/>
    </xf>
    <xf numFmtId="0" fontId="14" fillId="0" borderId="6" xfId="2" applyFont="1" applyBorder="1">
      <alignment horizontal="center" vertical="center" wrapText="1"/>
    </xf>
    <xf numFmtId="49" fontId="0" fillId="0" borderId="2" xfId="0" applyNumberFormat="1" applyBorder="1" applyAlignment="1">
      <alignment vertical="top"/>
    </xf>
    <xf numFmtId="4" fontId="15" fillId="3" borderId="2" xfId="3" applyNumberFormat="1" applyBorder="1" applyProtection="1">
      <alignment horizontal="right"/>
    </xf>
    <xf numFmtId="4" fontId="15" fillId="4" borderId="6" xfId="4" applyBorder="1">
      <alignment horizontal="right"/>
    </xf>
    <xf numFmtId="17" fontId="0" fillId="0" borderId="2" xfId="0" quotePrefix="1" applyNumberFormat="1" applyBorder="1" applyAlignment="1">
      <alignment vertical="top"/>
    </xf>
    <xf numFmtId="49" fontId="0" fillId="0" borderId="5" xfId="0" applyNumberFormat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4" fontId="0" fillId="3" borderId="2" xfId="0" applyNumberFormat="1" applyFill="1" applyBorder="1" applyAlignment="1" applyProtection="1">
      <alignment vertical="top"/>
    </xf>
    <xf numFmtId="4" fontId="14" fillId="4" borderId="6" xfId="4" applyFont="1" applyBorder="1">
      <alignment horizontal="right"/>
    </xf>
    <xf numFmtId="49" fontId="0" fillId="0" borderId="16" xfId="0" applyNumberFormat="1" applyBorder="1" applyAlignment="1">
      <alignment vertical="top"/>
    </xf>
    <xf numFmtId="4" fontId="0" fillId="3" borderId="16" xfId="0" applyNumberFormat="1" applyFill="1" applyBorder="1" applyAlignment="1" applyProtection="1">
      <alignment vertical="top"/>
    </xf>
    <xf numFmtId="4" fontId="14" fillId="4" borderId="17" xfId="5" applyFont="1" applyFill="1" applyBorder="1">
      <alignment horizontal="right"/>
    </xf>
    <xf numFmtId="0" fontId="11" fillId="0" borderId="0" xfId="0" applyFont="1"/>
    <xf numFmtId="0" fontId="3" fillId="2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1" fontId="0" fillId="2" borderId="2" xfId="0" applyNumberFormat="1" applyFill="1" applyBorder="1"/>
    <xf numFmtId="0" fontId="7" fillId="2" borderId="2" xfId="6" applyFont="1" applyFill="1" applyBorder="1" applyAlignment="1">
      <alignment horizontal="center"/>
    </xf>
    <xf numFmtId="0" fontId="6" fillId="2" borderId="2" xfId="6" applyFont="1" applyFill="1" applyBorder="1" applyAlignment="1">
      <alignment horizontal="center"/>
    </xf>
    <xf numFmtId="16" fontId="7" fillId="2" borderId="2" xfId="6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1" fillId="0" borderId="2" xfId="0" applyFont="1" applyBorder="1"/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0" fillId="0" borderId="2" xfId="0" applyBorder="1" applyAlignment="1">
      <alignment wrapText="1"/>
    </xf>
    <xf numFmtId="2" fontId="0" fillId="0" borderId="2" xfId="0" applyNumberFormat="1" applyBorder="1"/>
    <xf numFmtId="2" fontId="11" fillId="0" borderId="0" xfId="0" applyNumberFormat="1" applyFont="1"/>
    <xf numFmtId="0" fontId="19" fillId="2" borderId="0" xfId="0" applyFont="1" applyFill="1"/>
    <xf numFmtId="0" fontId="3" fillId="2" borderId="1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wrapText="1"/>
    </xf>
    <xf numFmtId="0" fontId="16" fillId="2" borderId="0" xfId="0" applyFont="1" applyFill="1"/>
    <xf numFmtId="0" fontId="22" fillId="0" borderId="14" xfId="2" applyNumberFormat="1" applyFont="1" applyBorder="1">
      <alignment horizontal="center" vertical="center" wrapText="1"/>
    </xf>
    <xf numFmtId="0" fontId="22" fillId="0" borderId="14" xfId="2" applyFont="1" applyBorder="1">
      <alignment horizontal="center" vertical="center" wrapText="1"/>
    </xf>
    <xf numFmtId="0" fontId="22" fillId="0" borderId="15" xfId="2" applyFont="1" applyBorder="1">
      <alignment horizontal="center" vertical="center" wrapText="1"/>
    </xf>
    <xf numFmtId="0" fontId="22" fillId="0" borderId="2" xfId="2" applyNumberFormat="1" applyFont="1" applyBorder="1">
      <alignment horizontal="center" vertical="center" wrapText="1"/>
    </xf>
    <xf numFmtId="0" fontId="22" fillId="0" borderId="2" xfId="2" applyFont="1" applyBorder="1">
      <alignment horizontal="center" vertical="center" wrapText="1"/>
    </xf>
    <xf numFmtId="0" fontId="22" fillId="0" borderId="6" xfId="2" applyFont="1" applyBorder="1">
      <alignment horizontal="center" vertical="center" wrapText="1"/>
    </xf>
    <xf numFmtId="0" fontId="21" fillId="0" borderId="5" xfId="2" applyFont="1" applyBorder="1">
      <alignment horizontal="center" vertical="center" wrapText="1"/>
    </xf>
    <xf numFmtId="0" fontId="22" fillId="0" borderId="5" xfId="2" applyFont="1" applyBorder="1">
      <alignment horizontal="center" vertical="center" wrapText="1"/>
    </xf>
    <xf numFmtId="49" fontId="9" fillId="0" borderId="2" xfId="0" applyNumberFormat="1" applyFont="1" applyBorder="1" applyAlignment="1">
      <alignment vertical="top"/>
    </xf>
    <xf numFmtId="4" fontId="23" fillId="3" borderId="2" xfId="3" applyNumberFormat="1" applyFont="1" applyBorder="1" applyProtection="1">
      <alignment horizontal="right"/>
    </xf>
    <xf numFmtId="4" fontId="23" fillId="4" borderId="6" xfId="4" applyFont="1" applyBorder="1">
      <alignment horizontal="right"/>
    </xf>
    <xf numFmtId="49" fontId="9" fillId="0" borderId="5" xfId="0" applyNumberFormat="1" applyFont="1" applyBorder="1" applyAlignment="1">
      <alignment vertical="top"/>
    </xf>
    <xf numFmtId="4" fontId="9" fillId="3" borderId="2" xfId="0" applyNumberFormat="1" applyFont="1" applyFill="1" applyBorder="1" applyAlignment="1" applyProtection="1">
      <alignment vertical="top"/>
    </xf>
    <xf numFmtId="4" fontId="22" fillId="4" borderId="6" xfId="4" applyFont="1" applyBorder="1">
      <alignment horizontal="right"/>
    </xf>
    <xf numFmtId="4" fontId="23" fillId="3" borderId="2" xfId="3" applyNumberFormat="1" applyFont="1" applyFill="1" applyBorder="1" applyProtection="1">
      <alignment horizontal="right"/>
    </xf>
    <xf numFmtId="4" fontId="23" fillId="6" borderId="2" xfId="3" applyNumberFormat="1" applyFont="1" applyFill="1" applyBorder="1" applyProtection="1">
      <alignment horizontal="right"/>
    </xf>
    <xf numFmtId="164" fontId="22" fillId="4" borderId="6" xfId="4" applyNumberFormat="1" applyFont="1" applyBorder="1">
      <alignment horizontal="right"/>
    </xf>
    <xf numFmtId="49" fontId="9" fillId="0" borderId="9" xfId="0" applyNumberFormat="1" applyFont="1" applyBorder="1" applyAlignment="1">
      <alignment vertical="top"/>
    </xf>
    <xf numFmtId="49" fontId="9" fillId="0" borderId="16" xfId="0" applyNumberFormat="1" applyFont="1" applyBorder="1" applyAlignment="1">
      <alignment vertical="top"/>
    </xf>
    <xf numFmtId="4" fontId="9" fillId="3" borderId="16" xfId="0" applyNumberFormat="1" applyFont="1" applyFill="1" applyBorder="1" applyAlignment="1" applyProtection="1">
      <alignment vertical="top"/>
    </xf>
    <xf numFmtId="4" fontId="22" fillId="4" borderId="17" xfId="4" applyNumberFormat="1" applyFont="1" applyBorder="1">
      <alignment horizontal="right"/>
    </xf>
    <xf numFmtId="0" fontId="18" fillId="0" borderId="0" xfId="0" applyFont="1"/>
    <xf numFmtId="0" fontId="11" fillId="2" borderId="0" xfId="0" applyFont="1" applyFill="1" applyBorder="1"/>
    <xf numFmtId="0" fontId="0" fillId="0" borderId="0" xfId="0" applyAlignment="1">
      <alignment horizontal="center"/>
    </xf>
    <xf numFmtId="0" fontId="24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5" fillId="0" borderId="0" xfId="0" applyFont="1"/>
    <xf numFmtId="0" fontId="26" fillId="0" borderId="0" xfId="0" applyFont="1"/>
    <xf numFmtId="0" fontId="7" fillId="2" borderId="2" xfId="0" applyFont="1" applyFill="1" applyBorder="1"/>
    <xf numFmtId="2" fontId="7" fillId="2" borderId="2" xfId="0" applyNumberFormat="1" applyFont="1" applyFill="1" applyBorder="1"/>
    <xf numFmtId="165" fontId="7" fillId="2" borderId="2" xfId="0" applyNumberFormat="1" applyFont="1" applyFill="1" applyBorder="1"/>
    <xf numFmtId="0" fontId="27" fillId="2" borderId="2" xfId="0" applyFont="1" applyFill="1" applyBorder="1"/>
    <xf numFmtId="165" fontId="6" fillId="2" borderId="2" xfId="0" applyNumberFormat="1" applyFont="1" applyFill="1" applyBorder="1"/>
    <xf numFmtId="2" fontId="6" fillId="2" borderId="2" xfId="0" applyNumberFormat="1" applyFont="1" applyFill="1" applyBorder="1"/>
    <xf numFmtId="0" fontId="6" fillId="2" borderId="2" xfId="0" applyFont="1" applyFill="1" applyBorder="1"/>
    <xf numFmtId="0" fontId="28" fillId="2" borderId="0" xfId="0" applyFont="1" applyFill="1"/>
    <xf numFmtId="165" fontId="7" fillId="2" borderId="0" xfId="0" applyNumberFormat="1" applyFont="1" applyFill="1"/>
    <xf numFmtId="0" fontId="6" fillId="2" borderId="8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7" fillId="2" borderId="0" xfId="6" applyFont="1" applyFill="1"/>
    <xf numFmtId="0" fontId="4" fillId="2" borderId="0" xfId="0" applyFont="1" applyFill="1" applyAlignment="1">
      <alignment horizontal="center"/>
    </xf>
    <xf numFmtId="0" fontId="6" fillId="2" borderId="2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wrapText="1"/>
    </xf>
    <xf numFmtId="0" fontId="7" fillId="2" borderId="2" xfId="6" applyFont="1" applyFill="1" applyBorder="1" applyAlignment="1">
      <alignment horizontal="left" wrapText="1"/>
    </xf>
    <xf numFmtId="0" fontId="7" fillId="2" borderId="2" xfId="6" applyFont="1" applyFill="1" applyBorder="1" applyAlignment="1">
      <alignment horizontal="left" vertical="center" wrapText="1"/>
    </xf>
    <xf numFmtId="0" fontId="7" fillId="2" borderId="2" xfId="6" applyFont="1" applyFill="1" applyBorder="1" applyAlignment="1">
      <alignment horizontal="center" vertical="top"/>
    </xf>
    <xf numFmtId="0" fontId="7" fillId="2" borderId="2" xfId="6" applyFont="1" applyFill="1" applyBorder="1" applyAlignment="1">
      <alignment vertical="top" wrapText="1"/>
    </xf>
    <xf numFmtId="0" fontId="6" fillId="2" borderId="2" xfId="6" applyFont="1" applyFill="1" applyBorder="1" applyAlignment="1">
      <alignment wrapText="1"/>
    </xf>
    <xf numFmtId="0" fontId="6" fillId="2" borderId="2" xfId="0" applyFont="1" applyFill="1" applyBorder="1" applyAlignment="1">
      <alignment horizontal="left" vertical="top"/>
    </xf>
    <xf numFmtId="0" fontId="7" fillId="2" borderId="3" xfId="0" applyFont="1" applyFill="1" applyBorder="1"/>
    <xf numFmtId="0" fontId="7" fillId="2" borderId="0" xfId="0" applyFont="1" applyFill="1" applyAlignment="1">
      <alignment horizontal="left" vertical="center" wrapText="1"/>
    </xf>
    <xf numFmtId="0" fontId="29" fillId="2" borderId="0" xfId="0" applyFont="1" applyFill="1"/>
    <xf numFmtId="0" fontId="8" fillId="2" borderId="2" xfId="0" applyFont="1" applyFill="1" applyBorder="1"/>
    <xf numFmtId="0" fontId="0" fillId="0" borderId="0" xfId="0" applyAlignment="1"/>
    <xf numFmtId="0" fontId="3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2" fontId="0" fillId="2" borderId="2" xfId="0" applyNumberFormat="1" applyFill="1" applyBorder="1"/>
    <xf numFmtId="0" fontId="0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2" fontId="0" fillId="2" borderId="0" xfId="0" applyNumberFormat="1" applyFill="1" applyBorder="1"/>
    <xf numFmtId="2" fontId="11" fillId="2" borderId="2" xfId="0" applyNumberFormat="1" applyFont="1" applyFill="1" applyBorder="1"/>
    <xf numFmtId="0" fontId="26" fillId="0" borderId="0" xfId="0" applyFont="1" applyAlignment="1"/>
    <xf numFmtId="49" fontId="0" fillId="2" borderId="2" xfId="0" applyNumberFormat="1" applyFill="1" applyBorder="1" applyAlignment="1">
      <alignment horizontal="right"/>
    </xf>
    <xf numFmtId="49" fontId="0" fillId="2" borderId="2" xfId="0" applyNumberFormat="1" applyFill="1" applyBorder="1"/>
    <xf numFmtId="49" fontId="0" fillId="2" borderId="0" xfId="0" applyNumberFormat="1" applyFill="1" applyBorder="1"/>
    <xf numFmtId="49" fontId="11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/>
    <xf numFmtId="49" fontId="0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center" vertical="top"/>
    </xf>
    <xf numFmtId="49" fontId="11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wrapText="1"/>
    </xf>
    <xf numFmtId="0" fontId="20" fillId="2" borderId="2" xfId="0" applyFont="1" applyFill="1" applyBorder="1" applyAlignment="1">
      <alignment wrapText="1"/>
    </xf>
    <xf numFmtId="0" fontId="30" fillId="2" borderId="2" xfId="0" applyFont="1" applyFill="1" applyBorder="1" applyAlignment="1">
      <alignment wrapText="1"/>
    </xf>
    <xf numFmtId="0" fontId="25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0" xfId="6" applyFont="1" applyFill="1" applyAlignment="1">
      <alignment horizontal="center" vertical="center" wrapText="1"/>
    </xf>
    <xf numFmtId="0" fontId="9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0" xfId="6" applyFont="1" applyFill="1" applyAlignment="1">
      <alignment horizontal="center" vertical="center" wrapText="1"/>
    </xf>
    <xf numFmtId="0" fontId="0" fillId="8" borderId="0" xfId="0" applyFill="1"/>
    <xf numFmtId="0" fontId="11" fillId="8" borderId="0" xfId="0" applyFont="1" applyFill="1"/>
    <xf numFmtId="4" fontId="0" fillId="0" borderId="0" xfId="0" applyNumberFormat="1"/>
    <xf numFmtId="0" fontId="9" fillId="8" borderId="0" xfId="0" applyFont="1" applyFill="1"/>
    <xf numFmtId="0" fontId="18" fillId="8" borderId="0" xfId="0" applyFont="1" applyFill="1"/>
    <xf numFmtId="164" fontId="23" fillId="4" borderId="6" xfId="4" applyNumberFormat="1" applyFont="1" applyBorder="1">
      <alignment horizontal="right"/>
    </xf>
    <xf numFmtId="0" fontId="0" fillId="2" borderId="2" xfId="8" applyNumberFormat="1" applyFont="1" applyFill="1" applyBorder="1" applyAlignment="1">
      <alignment horizontal="right"/>
    </xf>
    <xf numFmtId="0" fontId="7" fillId="2" borderId="4" xfId="0" applyFont="1" applyFill="1" applyBorder="1"/>
    <xf numFmtId="0" fontId="6" fillId="2" borderId="0" xfId="6" applyFont="1" applyFill="1" applyAlignment="1">
      <alignment horizontal="center" vertical="center" wrapText="1"/>
    </xf>
    <xf numFmtId="0" fontId="6" fillId="2" borderId="0" xfId="0" applyFont="1" applyFill="1"/>
    <xf numFmtId="0" fontId="9" fillId="2" borderId="2" xfId="0" applyFont="1" applyFill="1" applyBorder="1"/>
    <xf numFmtId="0" fontId="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6" fillId="2" borderId="0" xfId="0" applyFont="1" applyFill="1" applyBorder="1"/>
    <xf numFmtId="0" fontId="0" fillId="9" borderId="2" xfId="0" applyFill="1" applyBorder="1"/>
    <xf numFmtId="0" fontId="32" fillId="2" borderId="10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/>
    </xf>
    <xf numFmtId="0" fontId="32" fillId="2" borderId="2" xfId="0" applyFont="1" applyFill="1" applyBorder="1" applyAlignment="1"/>
    <xf numFmtId="0" fontId="32" fillId="2" borderId="2" xfId="0" applyFont="1" applyFill="1" applyBorder="1" applyAlignment="1">
      <alignment horizontal="center"/>
    </xf>
    <xf numFmtId="0" fontId="32" fillId="2" borderId="2" xfId="0" applyFont="1" applyFill="1" applyBorder="1"/>
    <xf numFmtId="0" fontId="32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/>
    </xf>
    <xf numFmtId="1" fontId="33" fillId="2" borderId="2" xfId="0" applyNumberFormat="1" applyFont="1" applyFill="1" applyBorder="1" applyAlignment="1">
      <alignment horizontal="center"/>
    </xf>
    <xf numFmtId="165" fontId="32" fillId="2" borderId="2" xfId="0" applyNumberFormat="1" applyFont="1" applyFill="1" applyBorder="1"/>
    <xf numFmtId="0" fontId="32" fillId="2" borderId="2" xfId="0" applyFont="1" applyFill="1" applyBorder="1" applyAlignment="1">
      <alignment horizontal="center"/>
    </xf>
    <xf numFmtId="165" fontId="32" fillId="2" borderId="2" xfId="0" applyNumberFormat="1" applyFont="1" applyFill="1" applyBorder="1" applyAlignment="1">
      <alignment horizontal="center"/>
    </xf>
    <xf numFmtId="14" fontId="32" fillId="2" borderId="2" xfId="0" applyNumberFormat="1" applyFont="1" applyFill="1" applyBorder="1" applyAlignment="1"/>
    <xf numFmtId="165" fontId="31" fillId="2" borderId="2" xfId="0" applyNumberFormat="1" applyFont="1" applyFill="1" applyBorder="1" applyAlignment="1">
      <alignment horizontal="center"/>
    </xf>
    <xf numFmtId="165" fontId="33" fillId="2" borderId="2" xfId="0" applyNumberFormat="1" applyFont="1" applyFill="1" applyBorder="1" applyAlignment="1">
      <alignment horizontal="center"/>
    </xf>
    <xf numFmtId="16" fontId="32" fillId="2" borderId="2" xfId="0" applyNumberFormat="1" applyFont="1" applyFill="1" applyBorder="1" applyAlignment="1"/>
    <xf numFmtId="0" fontId="31" fillId="2" borderId="2" xfId="0" applyFont="1" applyFill="1" applyBorder="1" applyAlignment="1"/>
    <xf numFmtId="2" fontId="31" fillId="2" borderId="2" xfId="0" applyNumberFormat="1" applyFont="1" applyFill="1" applyBorder="1" applyAlignment="1">
      <alignment horizontal="center"/>
    </xf>
    <xf numFmtId="1" fontId="31" fillId="2" borderId="2" xfId="0" applyNumberFormat="1" applyFont="1" applyFill="1" applyBorder="1" applyAlignment="1">
      <alignment horizontal="center"/>
    </xf>
    <xf numFmtId="0" fontId="32" fillId="2" borderId="12" xfId="0" applyFont="1" applyFill="1" applyBorder="1"/>
    <xf numFmtId="0" fontId="32" fillId="2" borderId="12" xfId="0" applyFont="1" applyFill="1" applyBorder="1" applyAlignment="1"/>
    <xf numFmtId="0" fontId="9" fillId="2" borderId="3" xfId="0" applyFont="1" applyFill="1" applyBorder="1"/>
    <xf numFmtId="0" fontId="32" fillId="2" borderId="3" xfId="0" applyFont="1" applyFill="1" applyBorder="1"/>
    <xf numFmtId="0" fontId="18" fillId="2" borderId="0" xfId="0" applyFont="1" applyFill="1"/>
    <xf numFmtId="0" fontId="9" fillId="2" borderId="0" xfId="0" applyFont="1" applyFill="1" applyAlignment="1">
      <alignment horizontal="center" wrapText="1"/>
    </xf>
    <xf numFmtId="0" fontId="7" fillId="2" borderId="0" xfId="0" applyFont="1" applyFill="1" applyAlignment="1">
      <alignment wrapText="1"/>
    </xf>
    <xf numFmtId="0" fontId="11" fillId="9" borderId="2" xfId="0" applyFont="1" applyFill="1" applyBorder="1"/>
    <xf numFmtId="2" fontId="6" fillId="10" borderId="2" xfId="0" applyNumberFormat="1" applyFont="1" applyFill="1" applyBorder="1"/>
    <xf numFmtId="2" fontId="11" fillId="0" borderId="2" xfId="0" applyNumberFormat="1" applyFont="1" applyBorder="1"/>
    <xf numFmtId="2" fontId="0" fillId="0" borderId="0" xfId="0" applyNumberFormat="1" applyBorder="1"/>
    <xf numFmtId="2" fontId="11" fillId="0" borderId="0" xfId="0" applyNumberFormat="1" applyFont="1" applyBorder="1"/>
    <xf numFmtId="0" fontId="32" fillId="2" borderId="2" xfId="0" applyFont="1" applyFill="1" applyBorder="1" applyAlignment="1">
      <alignment wrapText="1"/>
    </xf>
    <xf numFmtId="0" fontId="32" fillId="2" borderId="2" xfId="0" applyFont="1" applyFill="1" applyBorder="1" applyAlignment="1">
      <alignment horizontal="center"/>
    </xf>
    <xf numFmtId="0" fontId="0" fillId="0" borderId="2" xfId="0" applyFill="1" applyBorder="1"/>
    <xf numFmtId="2" fontId="16" fillId="2" borderId="2" xfId="0" applyNumberFormat="1" applyFont="1" applyFill="1" applyBorder="1"/>
    <xf numFmtId="0" fontId="19" fillId="2" borderId="0" xfId="0" applyFont="1" applyFill="1" applyAlignment="1">
      <alignment horizontal="left" vertical="center" wrapText="1"/>
    </xf>
    <xf numFmtId="166" fontId="0" fillId="0" borderId="2" xfId="0" applyNumberFormat="1" applyBorder="1"/>
    <xf numFmtId="166" fontId="0" fillId="2" borderId="2" xfId="0" applyNumberFormat="1" applyFill="1" applyBorder="1"/>
    <xf numFmtId="2" fontId="25" fillId="7" borderId="2" xfId="0" applyNumberFormat="1" applyFont="1" applyFill="1" applyBorder="1"/>
    <xf numFmtId="0" fontId="25" fillId="0" borderId="18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11" fillId="11" borderId="2" xfId="0" applyFont="1" applyFill="1" applyBorder="1"/>
    <xf numFmtId="0" fontId="0" fillId="11" borderId="2" xfId="0" applyFill="1" applyBorder="1"/>
    <xf numFmtId="2" fontId="0" fillId="11" borderId="2" xfId="0" applyNumberFormat="1" applyFill="1" applyBorder="1"/>
    <xf numFmtId="49" fontId="11" fillId="2" borderId="2" xfId="0" applyNumberFormat="1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8" borderId="0" xfId="0" applyFill="1" applyAlignment="1">
      <alignment horizontal="center"/>
    </xf>
    <xf numFmtId="49" fontId="0" fillId="0" borderId="5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vertical="top"/>
    </xf>
    <xf numFmtId="49" fontId="0" fillId="0" borderId="9" xfId="0" applyNumberFormat="1" applyBorder="1" applyAlignment="1">
      <alignment vertical="top"/>
    </xf>
    <xf numFmtId="49" fontId="14" fillId="0" borderId="2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top"/>
    </xf>
    <xf numFmtId="49" fontId="0" fillId="0" borderId="16" xfId="0" applyNumberFormat="1" applyBorder="1" applyAlignment="1">
      <alignment horizontal="center" vertical="top"/>
    </xf>
    <xf numFmtId="49" fontId="0" fillId="0" borderId="2" xfId="0" applyNumberFormat="1" applyBorder="1" applyAlignment="1">
      <alignment vertical="top" wrapText="1"/>
    </xf>
    <xf numFmtId="0" fontId="13" fillId="8" borderId="0" xfId="1" applyFont="1" applyFill="1" applyAlignment="1">
      <alignment horizontal="center" vertical="center" wrapText="1"/>
    </xf>
    <xf numFmtId="0" fontId="13" fillId="8" borderId="1" xfId="1" applyFont="1" applyFill="1" applyBorder="1" applyAlignment="1">
      <alignment horizontal="center" vertical="center" wrapText="1"/>
    </xf>
    <xf numFmtId="0" fontId="14" fillId="0" borderId="13" xfId="2" applyBorder="1">
      <alignment horizontal="center" vertical="center" wrapText="1"/>
    </xf>
    <xf numFmtId="0" fontId="14" fillId="0" borderId="5" xfId="2" applyBorder="1">
      <alignment horizontal="center" vertical="center" wrapText="1"/>
    </xf>
    <xf numFmtId="0" fontId="14" fillId="0" borderId="14" xfId="2" applyBorder="1" applyAlignment="1">
      <alignment horizontal="center" vertical="center" wrapText="1"/>
    </xf>
    <xf numFmtId="0" fontId="14" fillId="0" borderId="2" xfId="2" applyBorder="1" applyAlignment="1">
      <alignment horizontal="center" vertical="center" wrapText="1"/>
    </xf>
    <xf numFmtId="0" fontId="14" fillId="0" borderId="14" xfId="2" applyBorder="1">
      <alignment horizontal="center" vertical="center" wrapText="1"/>
    </xf>
    <xf numFmtId="0" fontId="14" fillId="0" borderId="2" xfId="2" applyBorder="1">
      <alignment horizontal="center" vertical="center" wrapText="1"/>
    </xf>
    <xf numFmtId="49" fontId="9" fillId="0" borderId="5" xfId="0" applyNumberFormat="1" applyFont="1" applyBorder="1" applyAlignment="1">
      <alignment vertical="top"/>
    </xf>
    <xf numFmtId="49" fontId="9" fillId="0" borderId="2" xfId="0" applyNumberFormat="1" applyFont="1" applyBorder="1" applyAlignment="1">
      <alignment vertical="top"/>
    </xf>
    <xf numFmtId="0" fontId="21" fillId="0" borderId="13" xfId="2" applyFont="1" applyBorder="1">
      <alignment horizontal="center" vertical="center" wrapText="1"/>
    </xf>
    <xf numFmtId="0" fontId="21" fillId="0" borderId="5" xfId="2" applyFont="1" applyBorder="1">
      <alignment horizontal="center" vertical="center" wrapText="1"/>
    </xf>
    <xf numFmtId="0" fontId="22" fillId="0" borderId="14" xfId="2" applyFont="1" applyBorder="1">
      <alignment horizontal="center" vertical="center" wrapText="1"/>
    </xf>
    <xf numFmtId="0" fontId="22" fillId="0" borderId="2" xfId="2" applyFont="1" applyBorder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32" fillId="2" borderId="2" xfId="0" applyFont="1" applyFill="1" applyBorder="1" applyAlignment="1">
      <alignment vertical="center"/>
    </xf>
    <xf numFmtId="0" fontId="32" fillId="2" borderId="2" xfId="0" applyFont="1" applyFill="1" applyBorder="1" applyAlignment="1">
      <alignment wrapText="1"/>
    </xf>
    <xf numFmtId="0" fontId="32" fillId="2" borderId="2" xfId="0" applyFont="1" applyFill="1" applyBorder="1" applyAlignment="1">
      <alignment horizontal="center"/>
    </xf>
    <xf numFmtId="0" fontId="32" fillId="2" borderId="10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0" xfId="6" applyFont="1" applyFill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2" borderId="0" xfId="6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</cellXfs>
  <cellStyles count="9">
    <cellStyle name="Заголовок" xfId="1"/>
    <cellStyle name="ЗаголовокСтолбца" xfId="2"/>
    <cellStyle name="Значение" xfId="3"/>
    <cellStyle name="Обычный" xfId="0" builtinId="0"/>
    <cellStyle name="Обычный 10" xfId="7"/>
    <cellStyle name="Обычный_тарифы на 2002г с 1-01" xfId="6"/>
    <cellStyle name="Финансовый" xfId="8" builtinId="3"/>
    <cellStyle name="Формула" xfId="4"/>
    <cellStyle name="ФормулаВБ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workbookViewId="0">
      <selection sqref="A1:XFD1048576"/>
    </sheetView>
  </sheetViews>
  <sheetFormatPr defaultColWidth="8.77734375" defaultRowHeight="14.4" x14ac:dyDescent="0.3"/>
  <cols>
    <col min="1" max="1" width="6.88671875" style="3" customWidth="1"/>
    <col min="2" max="2" width="48.44140625" style="3" customWidth="1"/>
    <col min="3" max="3" width="12.33203125" style="3" customWidth="1"/>
    <col min="4" max="4" width="13.109375" style="3" customWidth="1"/>
    <col min="5" max="5" width="8.77734375" style="3"/>
    <col min="6" max="6" width="46" style="3" customWidth="1"/>
    <col min="7" max="7" width="7.33203125" style="3" customWidth="1"/>
    <col min="8" max="16384" width="8.77734375" style="3"/>
  </cols>
  <sheetData>
    <row r="1" spans="1:4" ht="39.6" customHeight="1" x14ac:dyDescent="0.3">
      <c r="A1" s="193" t="s">
        <v>537</v>
      </c>
      <c r="B1" s="193"/>
      <c r="C1" s="193"/>
      <c r="D1" s="193"/>
    </row>
    <row r="2" spans="1:4" x14ac:dyDescent="0.3">
      <c r="B2" s="46"/>
      <c r="C2" s="3" t="s">
        <v>151</v>
      </c>
    </row>
    <row r="3" spans="1:4" ht="43.2" x14ac:dyDescent="0.3">
      <c r="A3" s="27" t="s">
        <v>210</v>
      </c>
      <c r="B3" s="27" t="s">
        <v>87</v>
      </c>
      <c r="C3" s="28" t="s">
        <v>535</v>
      </c>
      <c r="D3" s="28" t="s">
        <v>536</v>
      </c>
    </row>
    <row r="4" spans="1:4" x14ac:dyDescent="0.3">
      <c r="A4" s="27">
        <v>1</v>
      </c>
      <c r="B4" s="26" t="s">
        <v>211</v>
      </c>
      <c r="C4" s="27"/>
      <c r="D4" s="27"/>
    </row>
    <row r="5" spans="1:4" x14ac:dyDescent="0.3">
      <c r="A5" s="115" t="s">
        <v>340</v>
      </c>
      <c r="B5" s="41" t="s">
        <v>341</v>
      </c>
      <c r="C5" s="41">
        <v>4395.22</v>
      </c>
      <c r="D5" s="41">
        <f>D6+D9</f>
        <v>4395.21</v>
      </c>
    </row>
    <row r="6" spans="1:4" x14ac:dyDescent="0.3">
      <c r="A6" s="111" t="s">
        <v>342</v>
      </c>
      <c r="B6" s="28" t="s">
        <v>292</v>
      </c>
      <c r="C6" s="27">
        <v>3900.94</v>
      </c>
      <c r="D6" s="27">
        <v>3900.94</v>
      </c>
    </row>
    <row r="7" spans="1:4" x14ac:dyDescent="0.3">
      <c r="A7" s="111" t="s">
        <v>343</v>
      </c>
      <c r="B7" s="28" t="s">
        <v>289</v>
      </c>
      <c r="C7" s="27">
        <v>2160.16</v>
      </c>
      <c r="D7" s="27">
        <v>2160.16</v>
      </c>
    </row>
    <row r="8" spans="1:4" x14ac:dyDescent="0.3">
      <c r="A8" s="111" t="s">
        <v>344</v>
      </c>
      <c r="B8" s="28" t="s">
        <v>345</v>
      </c>
      <c r="C8" s="27">
        <v>1740.78</v>
      </c>
      <c r="D8" s="27">
        <v>1740.78</v>
      </c>
    </row>
    <row r="9" spans="1:4" ht="36" customHeight="1" x14ac:dyDescent="0.3">
      <c r="A9" s="111" t="s">
        <v>347</v>
      </c>
      <c r="B9" s="28" t="s">
        <v>346</v>
      </c>
      <c r="C9" s="27">
        <v>494.27</v>
      </c>
      <c r="D9" s="27">
        <v>494.27</v>
      </c>
    </row>
    <row r="10" spans="1:4" x14ac:dyDescent="0.3">
      <c r="A10" s="114" t="s">
        <v>348</v>
      </c>
      <c r="B10" s="41" t="s">
        <v>212</v>
      </c>
      <c r="C10" s="109">
        <v>43255.44</v>
      </c>
      <c r="D10" s="188">
        <v>66902.55</v>
      </c>
    </row>
    <row r="11" spans="1:4" x14ac:dyDescent="0.3">
      <c r="A11" s="114" t="s">
        <v>349</v>
      </c>
      <c r="B11" s="41" t="s">
        <v>213</v>
      </c>
      <c r="C11" s="41">
        <v>6140.93</v>
      </c>
      <c r="D11" s="41">
        <v>6140.93</v>
      </c>
    </row>
    <row r="12" spans="1:4" x14ac:dyDescent="0.3">
      <c r="A12" s="116" t="s">
        <v>350</v>
      </c>
      <c r="B12" s="28" t="s">
        <v>351</v>
      </c>
      <c r="C12" s="105">
        <v>3279.05</v>
      </c>
      <c r="D12" s="105">
        <v>3279.05</v>
      </c>
    </row>
    <row r="13" spans="1:4" ht="15.6" customHeight="1" x14ac:dyDescent="0.3">
      <c r="A13" s="116" t="s">
        <v>352</v>
      </c>
      <c r="B13" s="28" t="s">
        <v>353</v>
      </c>
      <c r="C13" s="27">
        <v>2861.88</v>
      </c>
      <c r="D13" s="27">
        <v>2861.88</v>
      </c>
    </row>
    <row r="14" spans="1:4" x14ac:dyDescent="0.3">
      <c r="A14" s="111" t="s">
        <v>354</v>
      </c>
      <c r="B14" s="27" t="s">
        <v>94</v>
      </c>
      <c r="C14" s="27">
        <v>363.88</v>
      </c>
      <c r="D14" s="27">
        <v>363.88</v>
      </c>
    </row>
    <row r="15" spans="1:4" ht="17.399999999999999" customHeight="1" x14ac:dyDescent="0.3">
      <c r="A15" s="112" t="s">
        <v>368</v>
      </c>
      <c r="B15" s="28" t="s">
        <v>355</v>
      </c>
      <c r="C15" s="105">
        <v>194.86</v>
      </c>
      <c r="D15" s="105">
        <v>194.86</v>
      </c>
    </row>
    <row r="16" spans="1:4" ht="17.399999999999999" customHeight="1" x14ac:dyDescent="0.3">
      <c r="A16" s="112" t="s">
        <v>369</v>
      </c>
      <c r="B16" s="28" t="s">
        <v>356</v>
      </c>
      <c r="C16" s="27">
        <v>57.7</v>
      </c>
      <c r="D16" s="27">
        <v>57.7</v>
      </c>
    </row>
    <row r="17" spans="1:4" x14ac:dyDescent="0.3">
      <c r="A17" s="112" t="s">
        <v>370</v>
      </c>
      <c r="B17" s="28" t="s">
        <v>357</v>
      </c>
      <c r="C17" s="105"/>
      <c r="D17" s="105"/>
    </row>
    <row r="18" spans="1:4" x14ac:dyDescent="0.3">
      <c r="A18" s="112" t="s">
        <v>371</v>
      </c>
      <c r="B18" s="28" t="s">
        <v>310</v>
      </c>
      <c r="C18" s="27">
        <v>433.84</v>
      </c>
      <c r="D18" s="27">
        <v>433.84</v>
      </c>
    </row>
    <row r="19" spans="1:4" x14ac:dyDescent="0.3">
      <c r="A19" s="112" t="s">
        <v>372</v>
      </c>
      <c r="B19" s="28" t="s">
        <v>358</v>
      </c>
      <c r="C19" s="27">
        <v>0</v>
      </c>
      <c r="D19" s="27">
        <v>0</v>
      </c>
    </row>
    <row r="20" spans="1:4" x14ac:dyDescent="0.3">
      <c r="A20" s="112" t="s">
        <v>373</v>
      </c>
      <c r="B20" s="28" t="s">
        <v>359</v>
      </c>
      <c r="C20" s="27">
        <v>0</v>
      </c>
      <c r="D20" s="27">
        <v>0</v>
      </c>
    </row>
    <row r="21" spans="1:4" x14ac:dyDescent="0.3">
      <c r="A21" s="112" t="s">
        <v>374</v>
      </c>
      <c r="B21" s="28" t="s">
        <v>360</v>
      </c>
      <c r="C21" s="27">
        <v>0</v>
      </c>
      <c r="D21" s="27">
        <v>0</v>
      </c>
    </row>
    <row r="22" spans="1:4" x14ac:dyDescent="0.3">
      <c r="A22" s="112" t="s">
        <v>375</v>
      </c>
      <c r="B22" s="28" t="s">
        <v>361</v>
      </c>
      <c r="C22" s="27">
        <v>0</v>
      </c>
      <c r="D22" s="27">
        <v>0</v>
      </c>
    </row>
    <row r="23" spans="1:4" ht="24.6" x14ac:dyDescent="0.3">
      <c r="A23" s="112" t="s">
        <v>376</v>
      </c>
      <c r="B23" s="74" t="s">
        <v>363</v>
      </c>
      <c r="C23" s="27">
        <v>0</v>
      </c>
      <c r="D23" s="27">
        <v>0</v>
      </c>
    </row>
    <row r="24" spans="1:4" ht="28.8" x14ac:dyDescent="0.3">
      <c r="A24" s="112" t="s">
        <v>377</v>
      </c>
      <c r="B24" s="28" t="s">
        <v>362</v>
      </c>
      <c r="C24" s="27">
        <v>394.4</v>
      </c>
      <c r="D24" s="27">
        <v>394.4</v>
      </c>
    </row>
    <row r="25" spans="1:4" x14ac:dyDescent="0.3">
      <c r="A25" s="112" t="s">
        <v>378</v>
      </c>
      <c r="B25" s="106" t="s">
        <v>364</v>
      </c>
      <c r="C25" s="27">
        <v>192.31</v>
      </c>
      <c r="D25" s="27">
        <v>192.31</v>
      </c>
    </row>
    <row r="26" spans="1:4" x14ac:dyDescent="0.3">
      <c r="A26" s="112" t="s">
        <v>379</v>
      </c>
      <c r="B26" s="106" t="s">
        <v>365</v>
      </c>
      <c r="C26" s="27">
        <v>52.33</v>
      </c>
      <c r="D26" s="27">
        <v>52.33</v>
      </c>
    </row>
    <row r="27" spans="1:4" x14ac:dyDescent="0.3">
      <c r="A27" s="112" t="s">
        <v>380</v>
      </c>
      <c r="B27" s="28" t="s">
        <v>366</v>
      </c>
      <c r="C27" s="27">
        <v>0</v>
      </c>
      <c r="D27" s="27">
        <v>0</v>
      </c>
    </row>
    <row r="28" spans="1:4" x14ac:dyDescent="0.3">
      <c r="A28" s="112" t="s">
        <v>381</v>
      </c>
      <c r="B28" s="28" t="s">
        <v>367</v>
      </c>
      <c r="C28" s="27">
        <v>0</v>
      </c>
      <c r="D28" s="27">
        <v>0</v>
      </c>
    </row>
    <row r="29" spans="1:4" x14ac:dyDescent="0.3">
      <c r="A29" s="112" t="s">
        <v>382</v>
      </c>
      <c r="B29" s="28" t="s">
        <v>214</v>
      </c>
      <c r="C29" s="136">
        <v>1172.55</v>
      </c>
      <c r="D29" s="136">
        <v>1172.55</v>
      </c>
    </row>
    <row r="30" spans="1:4" x14ac:dyDescent="0.3">
      <c r="A30" s="117" t="s">
        <v>284</v>
      </c>
      <c r="B30" s="119" t="s">
        <v>383</v>
      </c>
      <c r="C30" s="109">
        <v>96.53</v>
      </c>
      <c r="D30" s="109">
        <v>96.53</v>
      </c>
    </row>
    <row r="31" spans="1:4" x14ac:dyDescent="0.3">
      <c r="A31" s="112" t="s">
        <v>388</v>
      </c>
      <c r="B31" s="28" t="s">
        <v>384</v>
      </c>
      <c r="C31" s="105">
        <v>96.53</v>
      </c>
      <c r="D31" s="105">
        <v>96.53</v>
      </c>
    </row>
    <row r="32" spans="1:4" x14ac:dyDescent="0.3">
      <c r="A32" s="112" t="s">
        <v>389</v>
      </c>
      <c r="B32" s="28" t="s">
        <v>385</v>
      </c>
      <c r="C32" s="105">
        <v>0</v>
      </c>
      <c r="D32" s="105">
        <v>0</v>
      </c>
    </row>
    <row r="33" spans="1:10" ht="24.6" customHeight="1" x14ac:dyDescent="0.3">
      <c r="A33" s="112" t="s">
        <v>390</v>
      </c>
      <c r="B33" s="28" t="s">
        <v>386</v>
      </c>
      <c r="C33" s="105">
        <v>0</v>
      </c>
      <c r="D33" s="105">
        <v>0</v>
      </c>
    </row>
    <row r="34" spans="1:10" ht="16.2" customHeight="1" x14ac:dyDescent="0.3">
      <c r="A34" s="112" t="s">
        <v>391</v>
      </c>
      <c r="B34" s="28" t="s">
        <v>387</v>
      </c>
      <c r="C34" s="105">
        <v>0</v>
      </c>
      <c r="D34" s="105">
        <v>0</v>
      </c>
    </row>
    <row r="35" spans="1:10" ht="30.6" customHeight="1" x14ac:dyDescent="0.3">
      <c r="A35" s="118" t="s">
        <v>392</v>
      </c>
      <c r="B35" s="119" t="s">
        <v>393</v>
      </c>
      <c r="C35" s="109">
        <v>424.96</v>
      </c>
      <c r="D35" s="109">
        <v>424.96</v>
      </c>
    </row>
    <row r="36" spans="1:10" x14ac:dyDescent="0.3">
      <c r="A36" s="112" t="s">
        <v>398</v>
      </c>
      <c r="B36" s="28" t="s">
        <v>394</v>
      </c>
      <c r="C36" s="105">
        <v>0</v>
      </c>
      <c r="D36" s="105">
        <v>0</v>
      </c>
    </row>
    <row r="37" spans="1:10" ht="22.8" customHeight="1" x14ac:dyDescent="0.3">
      <c r="A37" s="112" t="s">
        <v>399</v>
      </c>
      <c r="B37" s="74" t="s">
        <v>395</v>
      </c>
      <c r="C37" s="105">
        <v>424.96</v>
      </c>
      <c r="D37" s="105">
        <v>424.96</v>
      </c>
    </row>
    <row r="38" spans="1:10" ht="16.05" customHeight="1" x14ac:dyDescent="0.3">
      <c r="A38" s="112" t="s">
        <v>400</v>
      </c>
      <c r="B38" s="28" t="s">
        <v>396</v>
      </c>
      <c r="C38" s="105">
        <v>0</v>
      </c>
      <c r="D38" s="105">
        <v>0</v>
      </c>
    </row>
    <row r="39" spans="1:10" x14ac:dyDescent="0.3">
      <c r="A39" s="112" t="s">
        <v>401</v>
      </c>
      <c r="B39" s="28" t="s">
        <v>397</v>
      </c>
      <c r="C39" s="105">
        <v>0</v>
      </c>
      <c r="D39" s="105">
        <v>0</v>
      </c>
      <c r="E39" s="37"/>
      <c r="F39" s="37"/>
      <c r="G39" s="37"/>
      <c r="H39" s="37"/>
      <c r="I39" s="37"/>
      <c r="J39" s="37"/>
    </row>
    <row r="40" spans="1:10" x14ac:dyDescent="0.3">
      <c r="A40" s="112"/>
      <c r="B40" s="34" t="s">
        <v>215</v>
      </c>
      <c r="C40" s="109">
        <f t="shared" ref="C40:D40" si="0">C5+C10+C11+C30+C35</f>
        <v>54313.08</v>
      </c>
      <c r="D40" s="109">
        <f t="shared" si="0"/>
        <v>77960.180000000008</v>
      </c>
      <c r="E40" s="37"/>
      <c r="F40" s="37"/>
      <c r="G40" s="37"/>
      <c r="H40" s="37"/>
      <c r="I40" s="37"/>
      <c r="J40" s="37"/>
    </row>
    <row r="41" spans="1:10" x14ac:dyDescent="0.3">
      <c r="A41" s="113"/>
      <c r="B41" s="107"/>
      <c r="C41" s="108"/>
      <c r="E41" s="37"/>
      <c r="F41" s="37"/>
      <c r="G41" s="37"/>
      <c r="H41" s="37"/>
      <c r="I41" s="37"/>
      <c r="J41" s="37"/>
    </row>
    <row r="42" spans="1:10" x14ac:dyDescent="0.3">
      <c r="A42" s="113"/>
      <c r="B42" s="107"/>
      <c r="C42" s="108"/>
    </row>
    <row r="43" spans="1:10" ht="43.8" customHeight="1" x14ac:dyDescent="0.3">
      <c r="A43" s="112"/>
      <c r="B43" s="120" t="s">
        <v>216</v>
      </c>
      <c r="C43" s="28" t="s">
        <v>535</v>
      </c>
      <c r="D43" s="28" t="s">
        <v>536</v>
      </c>
    </row>
    <row r="44" spans="1:10" x14ac:dyDescent="0.3">
      <c r="A44" s="27" t="s">
        <v>210</v>
      </c>
      <c r="B44" s="27" t="s">
        <v>87</v>
      </c>
      <c r="C44" s="27"/>
      <c r="D44" s="27"/>
    </row>
    <row r="45" spans="1:10" x14ac:dyDescent="0.3">
      <c r="A45" s="112" t="s">
        <v>402</v>
      </c>
      <c r="B45" s="121" t="s">
        <v>403</v>
      </c>
      <c r="C45" s="27">
        <v>9273.02</v>
      </c>
      <c r="D45" s="189">
        <v>10008.85</v>
      </c>
    </row>
    <row r="46" spans="1:10" x14ac:dyDescent="0.3">
      <c r="A46" s="112" t="s">
        <v>404</v>
      </c>
      <c r="B46" s="28" t="s">
        <v>405</v>
      </c>
      <c r="C46" s="27">
        <v>53.55</v>
      </c>
      <c r="D46" s="27">
        <v>53.55</v>
      </c>
    </row>
    <row r="47" spans="1:10" s="37" customFormat="1" x14ac:dyDescent="0.3">
      <c r="A47" s="112" t="s">
        <v>408</v>
      </c>
      <c r="B47" s="28" t="s">
        <v>406</v>
      </c>
      <c r="C47" s="27">
        <v>212.27</v>
      </c>
      <c r="D47" s="27">
        <v>212.27</v>
      </c>
      <c r="E47" s="3"/>
      <c r="F47" s="3"/>
      <c r="G47" s="3"/>
      <c r="H47" s="3"/>
      <c r="I47" s="3"/>
      <c r="J47" s="3"/>
    </row>
    <row r="48" spans="1:10" s="37" customFormat="1" x14ac:dyDescent="0.3">
      <c r="A48" s="112" t="s">
        <v>409</v>
      </c>
      <c r="B48" s="28" t="s">
        <v>407</v>
      </c>
      <c r="C48" s="27">
        <v>1153.02</v>
      </c>
      <c r="D48" s="27">
        <v>1153.02</v>
      </c>
      <c r="E48" s="3"/>
      <c r="F48" s="3"/>
      <c r="G48" s="3"/>
      <c r="H48" s="3"/>
      <c r="I48" s="3"/>
      <c r="J48" s="3"/>
    </row>
    <row r="49" spans="1:10" s="37" customFormat="1" x14ac:dyDescent="0.3">
      <c r="A49" s="112" t="s">
        <v>410</v>
      </c>
      <c r="B49" s="28" t="s">
        <v>411</v>
      </c>
      <c r="C49" s="27">
        <v>2935.58</v>
      </c>
      <c r="D49" s="27">
        <v>2935.58</v>
      </c>
      <c r="E49" s="3"/>
      <c r="F49" s="3"/>
      <c r="G49" s="3"/>
      <c r="H49" s="3"/>
      <c r="I49" s="3"/>
      <c r="J49" s="3"/>
    </row>
    <row r="50" spans="1:10" s="37" customFormat="1" x14ac:dyDescent="0.3">
      <c r="A50" s="112" t="s">
        <v>414</v>
      </c>
      <c r="B50" s="28" t="s">
        <v>412</v>
      </c>
      <c r="C50" s="27">
        <v>0</v>
      </c>
      <c r="D50" s="27">
        <v>0</v>
      </c>
      <c r="E50" s="3"/>
      <c r="F50" s="3"/>
      <c r="G50" s="3"/>
      <c r="H50" s="3"/>
      <c r="I50" s="3"/>
      <c r="J50" s="3"/>
    </row>
    <row r="51" spans="1:10" s="37" customFormat="1" x14ac:dyDescent="0.3">
      <c r="A51" s="112" t="s">
        <v>415</v>
      </c>
      <c r="B51" s="28" t="s">
        <v>307</v>
      </c>
      <c r="C51" s="27">
        <v>48.8</v>
      </c>
      <c r="D51" s="27">
        <v>48.8</v>
      </c>
      <c r="E51" s="3"/>
      <c r="F51" s="3"/>
      <c r="G51" s="3"/>
      <c r="H51" s="3"/>
      <c r="I51" s="3"/>
      <c r="J51" s="3"/>
    </row>
    <row r="52" spans="1:10" x14ac:dyDescent="0.3">
      <c r="A52" s="112" t="s">
        <v>416</v>
      </c>
      <c r="B52" s="28" t="s">
        <v>413</v>
      </c>
      <c r="C52" s="27">
        <v>19.38</v>
      </c>
      <c r="D52" s="27">
        <v>19.38</v>
      </c>
    </row>
    <row r="53" spans="1:10" x14ac:dyDescent="0.3">
      <c r="A53" s="112" t="s">
        <v>417</v>
      </c>
      <c r="B53" s="28" t="s">
        <v>308</v>
      </c>
      <c r="C53" s="27">
        <v>2867.4</v>
      </c>
      <c r="D53" s="27">
        <v>2867.4</v>
      </c>
    </row>
    <row r="54" spans="1:10" x14ac:dyDescent="0.3">
      <c r="A54" s="112" t="s">
        <v>418</v>
      </c>
      <c r="B54" s="28" t="s">
        <v>419</v>
      </c>
      <c r="C54" s="27">
        <v>13149.65</v>
      </c>
      <c r="D54" s="190">
        <f>D10*30.4%</f>
        <v>20338.375199999999</v>
      </c>
    </row>
    <row r="55" spans="1:10" x14ac:dyDescent="0.3">
      <c r="A55" s="112" t="s">
        <v>420</v>
      </c>
      <c r="B55" s="28" t="s">
        <v>217</v>
      </c>
      <c r="C55" s="27">
        <v>0</v>
      </c>
      <c r="D55" s="27"/>
    </row>
    <row r="56" spans="1:10" x14ac:dyDescent="0.3">
      <c r="A56" s="112" t="s">
        <v>427</v>
      </c>
      <c r="B56" s="28" t="s">
        <v>421</v>
      </c>
      <c r="C56" s="27">
        <v>106.24</v>
      </c>
      <c r="D56" s="27">
        <v>106.24</v>
      </c>
    </row>
    <row r="57" spans="1:10" ht="28.8" x14ac:dyDescent="0.3">
      <c r="A57" s="112" t="s">
        <v>428</v>
      </c>
      <c r="B57" s="28" t="s">
        <v>439</v>
      </c>
      <c r="C57" s="27">
        <v>0</v>
      </c>
      <c r="D57" s="27">
        <v>0</v>
      </c>
    </row>
    <row r="58" spans="1:10" x14ac:dyDescent="0.3">
      <c r="A58" s="112" t="s">
        <v>429</v>
      </c>
      <c r="B58" s="28" t="s">
        <v>422</v>
      </c>
      <c r="C58" s="27">
        <v>5891.47</v>
      </c>
      <c r="D58" s="27">
        <v>5891.47</v>
      </c>
    </row>
    <row r="59" spans="1:10" x14ac:dyDescent="0.3">
      <c r="A59" s="112" t="s">
        <v>430</v>
      </c>
      <c r="B59" s="28" t="s">
        <v>423</v>
      </c>
      <c r="C59" s="27"/>
      <c r="D59" s="27"/>
    </row>
    <row r="60" spans="1:10" x14ac:dyDescent="0.3">
      <c r="A60" s="112" t="s">
        <v>431</v>
      </c>
      <c r="B60" s="28" t="s">
        <v>424</v>
      </c>
      <c r="C60" s="27">
        <v>5891.47</v>
      </c>
      <c r="D60" s="27">
        <v>5891.47</v>
      </c>
    </row>
    <row r="61" spans="1:10" x14ac:dyDescent="0.3">
      <c r="A61" s="112" t="s">
        <v>432</v>
      </c>
      <c r="B61" s="28" t="s">
        <v>425</v>
      </c>
      <c r="C61" s="27"/>
      <c r="D61" s="27"/>
    </row>
    <row r="62" spans="1:10" ht="28.8" x14ac:dyDescent="0.3">
      <c r="A62" s="112" t="s">
        <v>433</v>
      </c>
      <c r="B62" s="28" t="s">
        <v>557</v>
      </c>
      <c r="C62" s="27"/>
      <c r="D62" s="27">
        <v>81258.77</v>
      </c>
    </row>
    <row r="63" spans="1:10" x14ac:dyDescent="0.3">
      <c r="A63" s="112"/>
      <c r="B63" s="34" t="s">
        <v>219</v>
      </c>
      <c r="C63" s="41">
        <f>C45+C46+C47+C48+C49+C54+C56+C57+C58+C61+C62</f>
        <v>32774.800000000003</v>
      </c>
      <c r="D63" s="109">
        <f>D45+D46+D47+D48+D49+D54+D56+D57+D58+D61+D62</f>
        <v>121958.12520000001</v>
      </c>
      <c r="E63" s="37"/>
      <c r="F63" s="37"/>
      <c r="G63" s="37"/>
      <c r="H63" s="37"/>
      <c r="I63" s="37"/>
      <c r="J63" s="37"/>
    </row>
    <row r="64" spans="1:10" x14ac:dyDescent="0.3">
      <c r="A64" s="112"/>
      <c r="B64" s="34"/>
      <c r="C64" s="41"/>
      <c r="D64" s="27"/>
      <c r="E64" s="37"/>
      <c r="F64" s="37"/>
      <c r="G64" s="37"/>
      <c r="H64" s="37"/>
      <c r="I64" s="37"/>
      <c r="J64" s="37"/>
    </row>
    <row r="65" spans="1:10" x14ac:dyDescent="0.3">
      <c r="A65" s="191" t="s">
        <v>434</v>
      </c>
      <c r="B65" s="192"/>
      <c r="C65" s="192"/>
      <c r="D65" s="27"/>
    </row>
    <row r="66" spans="1:10" x14ac:dyDescent="0.3">
      <c r="A66" s="112" t="s">
        <v>435</v>
      </c>
      <c r="B66" s="28" t="s">
        <v>558</v>
      </c>
      <c r="C66" s="27"/>
      <c r="D66" s="27">
        <v>10655.97</v>
      </c>
    </row>
    <row r="67" spans="1:10" ht="28.8" x14ac:dyDescent="0.3">
      <c r="A67" s="112" t="s">
        <v>436</v>
      </c>
      <c r="B67" s="28" t="s">
        <v>495</v>
      </c>
      <c r="C67" s="27"/>
      <c r="D67" s="27"/>
    </row>
    <row r="68" spans="1:10" ht="15.6" x14ac:dyDescent="0.3">
      <c r="A68" s="112" t="s">
        <v>473</v>
      </c>
      <c r="B68" s="122" t="s">
        <v>437</v>
      </c>
      <c r="C68" s="109">
        <f>C40+C63+C66</f>
        <v>87087.88</v>
      </c>
      <c r="D68" s="109">
        <f>D40+D63+D66</f>
        <v>210574.2752</v>
      </c>
    </row>
    <row r="70" spans="1:10" ht="12" customHeight="1" x14ac:dyDescent="0.3"/>
    <row r="71" spans="1:10" ht="15" customHeight="1" x14ac:dyDescent="0.3">
      <c r="A71" s="45" t="s">
        <v>0</v>
      </c>
      <c r="B71" s="182"/>
      <c r="C71" s="3" t="s">
        <v>285</v>
      </c>
    </row>
    <row r="75" spans="1:10" s="37" customFormat="1" x14ac:dyDescent="0.3">
      <c r="A75" s="3"/>
      <c r="B75" s="3"/>
      <c r="C75" s="3"/>
      <c r="E75" s="3"/>
      <c r="F75" s="3"/>
      <c r="G75" s="3"/>
      <c r="H75" s="3"/>
      <c r="I75" s="3"/>
      <c r="J75" s="3"/>
    </row>
    <row r="76" spans="1:10" s="37" customFormat="1" ht="27.45" customHeight="1" x14ac:dyDescent="0.3">
      <c r="A76" s="3"/>
      <c r="B76" s="3"/>
      <c r="C76" s="3"/>
      <c r="E76" s="3"/>
      <c r="F76" s="3"/>
      <c r="G76" s="3"/>
      <c r="H76" s="3"/>
      <c r="I76" s="3"/>
      <c r="J76" s="3"/>
    </row>
  </sheetData>
  <mergeCells count="2">
    <mergeCell ref="A65:C6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A6" workbookViewId="0">
      <pane xSplit="2" ySplit="3" topLeftCell="C27" activePane="bottomRight" state="frozen"/>
      <selection activeCell="A6" sqref="A6"/>
      <selection pane="topRight" activeCell="C6" sqref="C6"/>
      <selection pane="bottomLeft" activeCell="A9" sqref="A9"/>
      <selection pane="bottomRight" activeCell="Q54" sqref="A2:Q54"/>
    </sheetView>
  </sheetViews>
  <sheetFormatPr defaultColWidth="9.21875" defaultRowHeight="13.2" x14ac:dyDescent="0.25"/>
  <cols>
    <col min="1" max="1" width="10.6640625" style="4" customWidth="1"/>
    <col min="2" max="2" width="41.6640625" style="4" customWidth="1"/>
    <col min="3" max="3" width="7.21875" style="4" customWidth="1"/>
    <col min="4" max="4" width="8.21875" style="4" customWidth="1"/>
    <col min="5" max="5" width="8.6640625" style="4" customWidth="1"/>
    <col min="6" max="6" width="9.6640625" style="4" customWidth="1"/>
    <col min="7" max="13" width="9.21875" style="4"/>
    <col min="14" max="14" width="8.21875" style="4" customWidth="1"/>
    <col min="15" max="245" width="9.21875" style="4"/>
    <col min="246" max="246" width="6.44140625" style="4" customWidth="1"/>
    <col min="247" max="247" width="47.77734375" style="4" customWidth="1"/>
    <col min="248" max="248" width="12.77734375" style="4" customWidth="1"/>
    <col min="249" max="249" width="14.44140625" style="4" customWidth="1"/>
    <col min="250" max="250" width="12.21875" style="4" customWidth="1"/>
    <col min="251" max="252" width="11.77734375" style="4" customWidth="1"/>
    <col min="253" max="501" width="9.21875" style="4"/>
    <col min="502" max="502" width="6.44140625" style="4" customWidth="1"/>
    <col min="503" max="503" width="47.77734375" style="4" customWidth="1"/>
    <col min="504" max="504" width="12.77734375" style="4" customWidth="1"/>
    <col min="505" max="505" width="14.44140625" style="4" customWidth="1"/>
    <col min="506" max="506" width="12.21875" style="4" customWidth="1"/>
    <col min="507" max="508" width="11.77734375" style="4" customWidth="1"/>
    <col min="509" max="757" width="9.21875" style="4"/>
    <col min="758" max="758" width="6.44140625" style="4" customWidth="1"/>
    <col min="759" max="759" width="47.77734375" style="4" customWidth="1"/>
    <col min="760" max="760" width="12.77734375" style="4" customWidth="1"/>
    <col min="761" max="761" width="14.44140625" style="4" customWidth="1"/>
    <col min="762" max="762" width="12.21875" style="4" customWidth="1"/>
    <col min="763" max="764" width="11.77734375" style="4" customWidth="1"/>
    <col min="765" max="1013" width="9.21875" style="4"/>
    <col min="1014" max="1014" width="6.44140625" style="4" customWidth="1"/>
    <col min="1015" max="1015" width="47.77734375" style="4" customWidth="1"/>
    <col min="1016" max="1016" width="12.77734375" style="4" customWidth="1"/>
    <col min="1017" max="1017" width="14.44140625" style="4" customWidth="1"/>
    <col min="1018" max="1018" width="12.21875" style="4" customWidth="1"/>
    <col min="1019" max="1020" width="11.77734375" style="4" customWidth="1"/>
    <col min="1021" max="1269" width="9.21875" style="4"/>
    <col min="1270" max="1270" width="6.44140625" style="4" customWidth="1"/>
    <col min="1271" max="1271" width="47.77734375" style="4" customWidth="1"/>
    <col min="1272" max="1272" width="12.77734375" style="4" customWidth="1"/>
    <col min="1273" max="1273" width="14.44140625" style="4" customWidth="1"/>
    <col min="1274" max="1274" width="12.21875" style="4" customWidth="1"/>
    <col min="1275" max="1276" width="11.77734375" style="4" customWidth="1"/>
    <col min="1277" max="1525" width="9.21875" style="4"/>
    <col min="1526" max="1526" width="6.44140625" style="4" customWidth="1"/>
    <col min="1527" max="1527" width="47.77734375" style="4" customWidth="1"/>
    <col min="1528" max="1528" width="12.77734375" style="4" customWidth="1"/>
    <col min="1529" max="1529" width="14.44140625" style="4" customWidth="1"/>
    <col min="1530" max="1530" width="12.21875" style="4" customWidth="1"/>
    <col min="1531" max="1532" width="11.77734375" style="4" customWidth="1"/>
    <col min="1533" max="1781" width="9.21875" style="4"/>
    <col min="1782" max="1782" width="6.44140625" style="4" customWidth="1"/>
    <col min="1783" max="1783" width="47.77734375" style="4" customWidth="1"/>
    <col min="1784" max="1784" width="12.77734375" style="4" customWidth="1"/>
    <col min="1785" max="1785" width="14.44140625" style="4" customWidth="1"/>
    <col min="1786" max="1786" width="12.21875" style="4" customWidth="1"/>
    <col min="1787" max="1788" width="11.77734375" style="4" customWidth="1"/>
    <col min="1789" max="2037" width="9.21875" style="4"/>
    <col min="2038" max="2038" width="6.44140625" style="4" customWidth="1"/>
    <col min="2039" max="2039" width="47.77734375" style="4" customWidth="1"/>
    <col min="2040" max="2040" width="12.77734375" style="4" customWidth="1"/>
    <col min="2041" max="2041" width="14.44140625" style="4" customWidth="1"/>
    <col min="2042" max="2042" width="12.21875" style="4" customWidth="1"/>
    <col min="2043" max="2044" width="11.77734375" style="4" customWidth="1"/>
    <col min="2045" max="2293" width="9.21875" style="4"/>
    <col min="2294" max="2294" width="6.44140625" style="4" customWidth="1"/>
    <col min="2295" max="2295" width="47.77734375" style="4" customWidth="1"/>
    <col min="2296" max="2296" width="12.77734375" style="4" customWidth="1"/>
    <col min="2297" max="2297" width="14.44140625" style="4" customWidth="1"/>
    <col min="2298" max="2298" width="12.21875" style="4" customWidth="1"/>
    <col min="2299" max="2300" width="11.77734375" style="4" customWidth="1"/>
    <col min="2301" max="2549" width="9.21875" style="4"/>
    <col min="2550" max="2550" width="6.44140625" style="4" customWidth="1"/>
    <col min="2551" max="2551" width="47.77734375" style="4" customWidth="1"/>
    <col min="2552" max="2552" width="12.77734375" style="4" customWidth="1"/>
    <col min="2553" max="2553" width="14.44140625" style="4" customWidth="1"/>
    <col min="2554" max="2554" width="12.21875" style="4" customWidth="1"/>
    <col min="2555" max="2556" width="11.77734375" style="4" customWidth="1"/>
    <col min="2557" max="2805" width="9.21875" style="4"/>
    <col min="2806" max="2806" width="6.44140625" style="4" customWidth="1"/>
    <col min="2807" max="2807" width="47.77734375" style="4" customWidth="1"/>
    <col min="2808" max="2808" width="12.77734375" style="4" customWidth="1"/>
    <col min="2809" max="2809" width="14.44140625" style="4" customWidth="1"/>
    <col min="2810" max="2810" width="12.21875" style="4" customWidth="1"/>
    <col min="2811" max="2812" width="11.77734375" style="4" customWidth="1"/>
    <col min="2813" max="3061" width="9.21875" style="4"/>
    <col min="3062" max="3062" width="6.44140625" style="4" customWidth="1"/>
    <col min="3063" max="3063" width="47.77734375" style="4" customWidth="1"/>
    <col min="3064" max="3064" width="12.77734375" style="4" customWidth="1"/>
    <col min="3065" max="3065" width="14.44140625" style="4" customWidth="1"/>
    <col min="3066" max="3066" width="12.21875" style="4" customWidth="1"/>
    <col min="3067" max="3068" width="11.77734375" style="4" customWidth="1"/>
    <col min="3069" max="3317" width="9.21875" style="4"/>
    <col min="3318" max="3318" width="6.44140625" style="4" customWidth="1"/>
    <col min="3319" max="3319" width="47.77734375" style="4" customWidth="1"/>
    <col min="3320" max="3320" width="12.77734375" style="4" customWidth="1"/>
    <col min="3321" max="3321" width="14.44140625" style="4" customWidth="1"/>
    <col min="3322" max="3322" width="12.21875" style="4" customWidth="1"/>
    <col min="3323" max="3324" width="11.77734375" style="4" customWidth="1"/>
    <col min="3325" max="3573" width="9.21875" style="4"/>
    <col min="3574" max="3574" width="6.44140625" style="4" customWidth="1"/>
    <col min="3575" max="3575" width="47.77734375" style="4" customWidth="1"/>
    <col min="3576" max="3576" width="12.77734375" style="4" customWidth="1"/>
    <col min="3577" max="3577" width="14.44140625" style="4" customWidth="1"/>
    <col min="3578" max="3578" width="12.21875" style="4" customWidth="1"/>
    <col min="3579" max="3580" width="11.77734375" style="4" customWidth="1"/>
    <col min="3581" max="3829" width="9.21875" style="4"/>
    <col min="3830" max="3830" width="6.44140625" style="4" customWidth="1"/>
    <col min="3831" max="3831" width="47.77734375" style="4" customWidth="1"/>
    <col min="3832" max="3832" width="12.77734375" style="4" customWidth="1"/>
    <col min="3833" max="3833" width="14.44140625" style="4" customWidth="1"/>
    <col min="3834" max="3834" width="12.21875" style="4" customWidth="1"/>
    <col min="3835" max="3836" width="11.77734375" style="4" customWidth="1"/>
    <col min="3837" max="4085" width="9.21875" style="4"/>
    <col min="4086" max="4086" width="6.44140625" style="4" customWidth="1"/>
    <col min="4087" max="4087" width="47.77734375" style="4" customWidth="1"/>
    <col min="4088" max="4088" width="12.77734375" style="4" customWidth="1"/>
    <col min="4089" max="4089" width="14.44140625" style="4" customWidth="1"/>
    <col min="4090" max="4090" width="12.21875" style="4" customWidth="1"/>
    <col min="4091" max="4092" width="11.77734375" style="4" customWidth="1"/>
    <col min="4093" max="4341" width="9.21875" style="4"/>
    <col min="4342" max="4342" width="6.44140625" style="4" customWidth="1"/>
    <col min="4343" max="4343" width="47.77734375" style="4" customWidth="1"/>
    <col min="4344" max="4344" width="12.77734375" style="4" customWidth="1"/>
    <col min="4345" max="4345" width="14.44140625" style="4" customWidth="1"/>
    <col min="4346" max="4346" width="12.21875" style="4" customWidth="1"/>
    <col min="4347" max="4348" width="11.77734375" style="4" customWidth="1"/>
    <col min="4349" max="4597" width="9.21875" style="4"/>
    <col min="4598" max="4598" width="6.44140625" style="4" customWidth="1"/>
    <col min="4599" max="4599" width="47.77734375" style="4" customWidth="1"/>
    <col min="4600" max="4600" width="12.77734375" style="4" customWidth="1"/>
    <col min="4601" max="4601" width="14.44140625" style="4" customWidth="1"/>
    <col min="4602" max="4602" width="12.21875" style="4" customWidth="1"/>
    <col min="4603" max="4604" width="11.77734375" style="4" customWidth="1"/>
    <col min="4605" max="4853" width="9.21875" style="4"/>
    <col min="4854" max="4854" width="6.44140625" style="4" customWidth="1"/>
    <col min="4855" max="4855" width="47.77734375" style="4" customWidth="1"/>
    <col min="4856" max="4856" width="12.77734375" style="4" customWidth="1"/>
    <col min="4857" max="4857" width="14.44140625" style="4" customWidth="1"/>
    <col min="4858" max="4858" width="12.21875" style="4" customWidth="1"/>
    <col min="4859" max="4860" width="11.77734375" style="4" customWidth="1"/>
    <col min="4861" max="5109" width="9.21875" style="4"/>
    <col min="5110" max="5110" width="6.44140625" style="4" customWidth="1"/>
    <col min="5111" max="5111" width="47.77734375" style="4" customWidth="1"/>
    <col min="5112" max="5112" width="12.77734375" style="4" customWidth="1"/>
    <col min="5113" max="5113" width="14.44140625" style="4" customWidth="1"/>
    <col min="5114" max="5114" width="12.21875" style="4" customWidth="1"/>
    <col min="5115" max="5116" width="11.77734375" style="4" customWidth="1"/>
    <col min="5117" max="5365" width="9.21875" style="4"/>
    <col min="5366" max="5366" width="6.44140625" style="4" customWidth="1"/>
    <col min="5367" max="5367" width="47.77734375" style="4" customWidth="1"/>
    <col min="5368" max="5368" width="12.77734375" style="4" customWidth="1"/>
    <col min="5369" max="5369" width="14.44140625" style="4" customWidth="1"/>
    <col min="5370" max="5370" width="12.21875" style="4" customWidth="1"/>
    <col min="5371" max="5372" width="11.77734375" style="4" customWidth="1"/>
    <col min="5373" max="5621" width="9.21875" style="4"/>
    <col min="5622" max="5622" width="6.44140625" style="4" customWidth="1"/>
    <col min="5623" max="5623" width="47.77734375" style="4" customWidth="1"/>
    <col min="5624" max="5624" width="12.77734375" style="4" customWidth="1"/>
    <col min="5625" max="5625" width="14.44140625" style="4" customWidth="1"/>
    <col min="5626" max="5626" width="12.21875" style="4" customWidth="1"/>
    <col min="5627" max="5628" width="11.77734375" style="4" customWidth="1"/>
    <col min="5629" max="5877" width="9.21875" style="4"/>
    <col min="5878" max="5878" width="6.44140625" style="4" customWidth="1"/>
    <col min="5879" max="5879" width="47.77734375" style="4" customWidth="1"/>
    <col min="5880" max="5880" width="12.77734375" style="4" customWidth="1"/>
    <col min="5881" max="5881" width="14.44140625" style="4" customWidth="1"/>
    <col min="5882" max="5882" width="12.21875" style="4" customWidth="1"/>
    <col min="5883" max="5884" width="11.77734375" style="4" customWidth="1"/>
    <col min="5885" max="6133" width="9.21875" style="4"/>
    <col min="6134" max="6134" width="6.44140625" style="4" customWidth="1"/>
    <col min="6135" max="6135" width="47.77734375" style="4" customWidth="1"/>
    <col min="6136" max="6136" width="12.77734375" style="4" customWidth="1"/>
    <col min="6137" max="6137" width="14.44140625" style="4" customWidth="1"/>
    <col min="6138" max="6138" width="12.21875" style="4" customWidth="1"/>
    <col min="6139" max="6140" width="11.77734375" style="4" customWidth="1"/>
    <col min="6141" max="6389" width="9.21875" style="4"/>
    <col min="6390" max="6390" width="6.44140625" style="4" customWidth="1"/>
    <col min="6391" max="6391" width="47.77734375" style="4" customWidth="1"/>
    <col min="6392" max="6392" width="12.77734375" style="4" customWidth="1"/>
    <col min="6393" max="6393" width="14.44140625" style="4" customWidth="1"/>
    <col min="6394" max="6394" width="12.21875" style="4" customWidth="1"/>
    <col min="6395" max="6396" width="11.77734375" style="4" customWidth="1"/>
    <col min="6397" max="6645" width="9.21875" style="4"/>
    <col min="6646" max="6646" width="6.44140625" style="4" customWidth="1"/>
    <col min="6647" max="6647" width="47.77734375" style="4" customWidth="1"/>
    <col min="6648" max="6648" width="12.77734375" style="4" customWidth="1"/>
    <col min="6649" max="6649" width="14.44140625" style="4" customWidth="1"/>
    <col min="6650" max="6650" width="12.21875" style="4" customWidth="1"/>
    <col min="6651" max="6652" width="11.77734375" style="4" customWidth="1"/>
    <col min="6653" max="6901" width="9.21875" style="4"/>
    <col min="6902" max="6902" width="6.44140625" style="4" customWidth="1"/>
    <col min="6903" max="6903" width="47.77734375" style="4" customWidth="1"/>
    <col min="6904" max="6904" width="12.77734375" style="4" customWidth="1"/>
    <col min="6905" max="6905" width="14.44140625" style="4" customWidth="1"/>
    <col min="6906" max="6906" width="12.21875" style="4" customWidth="1"/>
    <col min="6907" max="6908" width="11.77734375" style="4" customWidth="1"/>
    <col min="6909" max="7157" width="9.21875" style="4"/>
    <col min="7158" max="7158" width="6.44140625" style="4" customWidth="1"/>
    <col min="7159" max="7159" width="47.77734375" style="4" customWidth="1"/>
    <col min="7160" max="7160" width="12.77734375" style="4" customWidth="1"/>
    <col min="7161" max="7161" width="14.44140625" style="4" customWidth="1"/>
    <col min="7162" max="7162" width="12.21875" style="4" customWidth="1"/>
    <col min="7163" max="7164" width="11.77734375" style="4" customWidth="1"/>
    <col min="7165" max="7413" width="9.21875" style="4"/>
    <col min="7414" max="7414" width="6.44140625" style="4" customWidth="1"/>
    <col min="7415" max="7415" width="47.77734375" style="4" customWidth="1"/>
    <col min="7416" max="7416" width="12.77734375" style="4" customWidth="1"/>
    <col min="7417" max="7417" width="14.44140625" style="4" customWidth="1"/>
    <col min="7418" max="7418" width="12.21875" style="4" customWidth="1"/>
    <col min="7419" max="7420" width="11.77734375" style="4" customWidth="1"/>
    <col min="7421" max="7669" width="9.21875" style="4"/>
    <col min="7670" max="7670" width="6.44140625" style="4" customWidth="1"/>
    <col min="7671" max="7671" width="47.77734375" style="4" customWidth="1"/>
    <col min="7672" max="7672" width="12.77734375" style="4" customWidth="1"/>
    <col min="7673" max="7673" width="14.44140625" style="4" customWidth="1"/>
    <col min="7674" max="7674" width="12.21875" style="4" customWidth="1"/>
    <col min="7675" max="7676" width="11.77734375" style="4" customWidth="1"/>
    <col min="7677" max="7925" width="9.21875" style="4"/>
    <col min="7926" max="7926" width="6.44140625" style="4" customWidth="1"/>
    <col min="7927" max="7927" width="47.77734375" style="4" customWidth="1"/>
    <col min="7928" max="7928" width="12.77734375" style="4" customWidth="1"/>
    <col min="7929" max="7929" width="14.44140625" style="4" customWidth="1"/>
    <col min="7930" max="7930" width="12.21875" style="4" customWidth="1"/>
    <col min="7931" max="7932" width="11.77734375" style="4" customWidth="1"/>
    <col min="7933" max="8181" width="9.21875" style="4"/>
    <col min="8182" max="8182" width="6.44140625" style="4" customWidth="1"/>
    <col min="8183" max="8183" width="47.77734375" style="4" customWidth="1"/>
    <col min="8184" max="8184" width="12.77734375" style="4" customWidth="1"/>
    <col min="8185" max="8185" width="14.44140625" style="4" customWidth="1"/>
    <col min="8186" max="8186" width="12.21875" style="4" customWidth="1"/>
    <col min="8187" max="8188" width="11.77734375" style="4" customWidth="1"/>
    <col min="8189" max="8437" width="9.21875" style="4"/>
    <col min="8438" max="8438" width="6.44140625" style="4" customWidth="1"/>
    <col min="8439" max="8439" width="47.77734375" style="4" customWidth="1"/>
    <col min="8440" max="8440" width="12.77734375" style="4" customWidth="1"/>
    <col min="8441" max="8441" width="14.44140625" style="4" customWidth="1"/>
    <col min="8442" max="8442" width="12.21875" style="4" customWidth="1"/>
    <col min="8443" max="8444" width="11.77734375" style="4" customWidth="1"/>
    <col min="8445" max="8693" width="9.21875" style="4"/>
    <col min="8694" max="8694" width="6.44140625" style="4" customWidth="1"/>
    <col min="8695" max="8695" width="47.77734375" style="4" customWidth="1"/>
    <col min="8696" max="8696" width="12.77734375" style="4" customWidth="1"/>
    <col min="8697" max="8697" width="14.44140625" style="4" customWidth="1"/>
    <col min="8698" max="8698" width="12.21875" style="4" customWidth="1"/>
    <col min="8699" max="8700" width="11.77734375" style="4" customWidth="1"/>
    <col min="8701" max="8949" width="9.21875" style="4"/>
    <col min="8950" max="8950" width="6.44140625" style="4" customWidth="1"/>
    <col min="8951" max="8951" width="47.77734375" style="4" customWidth="1"/>
    <col min="8952" max="8952" width="12.77734375" style="4" customWidth="1"/>
    <col min="8953" max="8953" width="14.44140625" style="4" customWidth="1"/>
    <col min="8954" max="8954" width="12.21875" style="4" customWidth="1"/>
    <col min="8955" max="8956" width="11.77734375" style="4" customWidth="1"/>
    <col min="8957" max="9205" width="9.21875" style="4"/>
    <col min="9206" max="9206" width="6.44140625" style="4" customWidth="1"/>
    <col min="9207" max="9207" width="47.77734375" style="4" customWidth="1"/>
    <col min="9208" max="9208" width="12.77734375" style="4" customWidth="1"/>
    <col min="9209" max="9209" width="14.44140625" style="4" customWidth="1"/>
    <col min="9210" max="9210" width="12.21875" style="4" customWidth="1"/>
    <col min="9211" max="9212" width="11.77734375" style="4" customWidth="1"/>
    <col min="9213" max="9461" width="9.21875" style="4"/>
    <col min="9462" max="9462" width="6.44140625" style="4" customWidth="1"/>
    <col min="9463" max="9463" width="47.77734375" style="4" customWidth="1"/>
    <col min="9464" max="9464" width="12.77734375" style="4" customWidth="1"/>
    <col min="9465" max="9465" width="14.44140625" style="4" customWidth="1"/>
    <col min="9466" max="9466" width="12.21875" style="4" customWidth="1"/>
    <col min="9467" max="9468" width="11.77734375" style="4" customWidth="1"/>
    <col min="9469" max="9717" width="9.21875" style="4"/>
    <col min="9718" max="9718" width="6.44140625" style="4" customWidth="1"/>
    <col min="9719" max="9719" width="47.77734375" style="4" customWidth="1"/>
    <col min="9720" max="9720" width="12.77734375" style="4" customWidth="1"/>
    <col min="9721" max="9721" width="14.44140625" style="4" customWidth="1"/>
    <col min="9722" max="9722" width="12.21875" style="4" customWidth="1"/>
    <col min="9723" max="9724" width="11.77734375" style="4" customWidth="1"/>
    <col min="9725" max="9973" width="9.21875" style="4"/>
    <col min="9974" max="9974" width="6.44140625" style="4" customWidth="1"/>
    <col min="9975" max="9975" width="47.77734375" style="4" customWidth="1"/>
    <col min="9976" max="9976" width="12.77734375" style="4" customWidth="1"/>
    <col min="9977" max="9977" width="14.44140625" style="4" customWidth="1"/>
    <col min="9978" max="9978" width="12.21875" style="4" customWidth="1"/>
    <col min="9979" max="9980" width="11.77734375" style="4" customWidth="1"/>
    <col min="9981" max="10229" width="9.21875" style="4"/>
    <col min="10230" max="10230" width="6.44140625" style="4" customWidth="1"/>
    <col min="10231" max="10231" width="47.77734375" style="4" customWidth="1"/>
    <col min="10232" max="10232" width="12.77734375" style="4" customWidth="1"/>
    <col min="10233" max="10233" width="14.44140625" style="4" customWidth="1"/>
    <col min="10234" max="10234" width="12.21875" style="4" customWidth="1"/>
    <col min="10235" max="10236" width="11.77734375" style="4" customWidth="1"/>
    <col min="10237" max="10485" width="9.21875" style="4"/>
    <col min="10486" max="10486" width="6.44140625" style="4" customWidth="1"/>
    <col min="10487" max="10487" width="47.77734375" style="4" customWidth="1"/>
    <col min="10488" max="10488" width="12.77734375" style="4" customWidth="1"/>
    <col min="10489" max="10489" width="14.44140625" style="4" customWidth="1"/>
    <col min="10490" max="10490" width="12.21875" style="4" customWidth="1"/>
    <col min="10491" max="10492" width="11.77734375" style="4" customWidth="1"/>
    <col min="10493" max="10741" width="9.21875" style="4"/>
    <col min="10742" max="10742" width="6.44140625" style="4" customWidth="1"/>
    <col min="10743" max="10743" width="47.77734375" style="4" customWidth="1"/>
    <col min="10744" max="10744" width="12.77734375" style="4" customWidth="1"/>
    <col min="10745" max="10745" width="14.44140625" style="4" customWidth="1"/>
    <col min="10746" max="10746" width="12.21875" style="4" customWidth="1"/>
    <col min="10747" max="10748" width="11.77734375" style="4" customWidth="1"/>
    <col min="10749" max="10997" width="9.21875" style="4"/>
    <col min="10998" max="10998" width="6.44140625" style="4" customWidth="1"/>
    <col min="10999" max="10999" width="47.77734375" style="4" customWidth="1"/>
    <col min="11000" max="11000" width="12.77734375" style="4" customWidth="1"/>
    <col min="11001" max="11001" width="14.44140625" style="4" customWidth="1"/>
    <col min="11002" max="11002" width="12.21875" style="4" customWidth="1"/>
    <col min="11003" max="11004" width="11.77734375" style="4" customWidth="1"/>
    <col min="11005" max="11253" width="9.21875" style="4"/>
    <col min="11254" max="11254" width="6.44140625" style="4" customWidth="1"/>
    <col min="11255" max="11255" width="47.77734375" style="4" customWidth="1"/>
    <col min="11256" max="11256" width="12.77734375" style="4" customWidth="1"/>
    <col min="11257" max="11257" width="14.44140625" style="4" customWidth="1"/>
    <col min="11258" max="11258" width="12.21875" style="4" customWidth="1"/>
    <col min="11259" max="11260" width="11.77734375" style="4" customWidth="1"/>
    <col min="11261" max="11509" width="9.21875" style="4"/>
    <col min="11510" max="11510" width="6.44140625" style="4" customWidth="1"/>
    <col min="11511" max="11511" width="47.77734375" style="4" customWidth="1"/>
    <col min="11512" max="11512" width="12.77734375" style="4" customWidth="1"/>
    <col min="11513" max="11513" width="14.44140625" style="4" customWidth="1"/>
    <col min="11514" max="11514" width="12.21875" style="4" customWidth="1"/>
    <col min="11515" max="11516" width="11.77734375" style="4" customWidth="1"/>
    <col min="11517" max="11765" width="9.21875" style="4"/>
    <col min="11766" max="11766" width="6.44140625" style="4" customWidth="1"/>
    <col min="11767" max="11767" width="47.77734375" style="4" customWidth="1"/>
    <col min="11768" max="11768" width="12.77734375" style="4" customWidth="1"/>
    <col min="11769" max="11769" width="14.44140625" style="4" customWidth="1"/>
    <col min="11770" max="11770" width="12.21875" style="4" customWidth="1"/>
    <col min="11771" max="11772" width="11.77734375" style="4" customWidth="1"/>
    <col min="11773" max="12021" width="9.21875" style="4"/>
    <col min="12022" max="12022" width="6.44140625" style="4" customWidth="1"/>
    <col min="12023" max="12023" width="47.77734375" style="4" customWidth="1"/>
    <col min="12024" max="12024" width="12.77734375" style="4" customWidth="1"/>
    <col min="12025" max="12025" width="14.44140625" style="4" customWidth="1"/>
    <col min="12026" max="12026" width="12.21875" style="4" customWidth="1"/>
    <col min="12027" max="12028" width="11.77734375" style="4" customWidth="1"/>
    <col min="12029" max="12277" width="9.21875" style="4"/>
    <col min="12278" max="12278" width="6.44140625" style="4" customWidth="1"/>
    <col min="12279" max="12279" width="47.77734375" style="4" customWidth="1"/>
    <col min="12280" max="12280" width="12.77734375" style="4" customWidth="1"/>
    <col min="12281" max="12281" width="14.44140625" style="4" customWidth="1"/>
    <col min="12282" max="12282" width="12.21875" style="4" customWidth="1"/>
    <col min="12283" max="12284" width="11.77734375" style="4" customWidth="1"/>
    <col min="12285" max="12533" width="9.21875" style="4"/>
    <col min="12534" max="12534" width="6.44140625" style="4" customWidth="1"/>
    <col min="12535" max="12535" width="47.77734375" style="4" customWidth="1"/>
    <col min="12536" max="12536" width="12.77734375" style="4" customWidth="1"/>
    <col min="12537" max="12537" width="14.44140625" style="4" customWidth="1"/>
    <col min="12538" max="12538" width="12.21875" style="4" customWidth="1"/>
    <col min="12539" max="12540" width="11.77734375" style="4" customWidth="1"/>
    <col min="12541" max="12789" width="9.21875" style="4"/>
    <col min="12790" max="12790" width="6.44140625" style="4" customWidth="1"/>
    <col min="12791" max="12791" width="47.77734375" style="4" customWidth="1"/>
    <col min="12792" max="12792" width="12.77734375" style="4" customWidth="1"/>
    <col min="12793" max="12793" width="14.44140625" style="4" customWidth="1"/>
    <col min="12794" max="12794" width="12.21875" style="4" customWidth="1"/>
    <col min="12795" max="12796" width="11.77734375" style="4" customWidth="1"/>
    <col min="12797" max="13045" width="9.21875" style="4"/>
    <col min="13046" max="13046" width="6.44140625" style="4" customWidth="1"/>
    <col min="13047" max="13047" width="47.77734375" style="4" customWidth="1"/>
    <col min="13048" max="13048" width="12.77734375" style="4" customWidth="1"/>
    <col min="13049" max="13049" width="14.44140625" style="4" customWidth="1"/>
    <col min="13050" max="13050" width="12.21875" style="4" customWidth="1"/>
    <col min="13051" max="13052" width="11.77734375" style="4" customWidth="1"/>
    <col min="13053" max="13301" width="9.21875" style="4"/>
    <col min="13302" max="13302" width="6.44140625" style="4" customWidth="1"/>
    <col min="13303" max="13303" width="47.77734375" style="4" customWidth="1"/>
    <col min="13304" max="13304" width="12.77734375" style="4" customWidth="1"/>
    <col min="13305" max="13305" width="14.44140625" style="4" customWidth="1"/>
    <col min="13306" max="13306" width="12.21875" style="4" customWidth="1"/>
    <col min="13307" max="13308" width="11.77734375" style="4" customWidth="1"/>
    <col min="13309" max="13557" width="9.21875" style="4"/>
    <col min="13558" max="13558" width="6.44140625" style="4" customWidth="1"/>
    <col min="13559" max="13559" width="47.77734375" style="4" customWidth="1"/>
    <col min="13560" max="13560" width="12.77734375" style="4" customWidth="1"/>
    <col min="13561" max="13561" width="14.44140625" style="4" customWidth="1"/>
    <col min="13562" max="13562" width="12.21875" style="4" customWidth="1"/>
    <col min="13563" max="13564" width="11.77734375" style="4" customWidth="1"/>
    <col min="13565" max="13813" width="9.21875" style="4"/>
    <col min="13814" max="13814" width="6.44140625" style="4" customWidth="1"/>
    <col min="13815" max="13815" width="47.77734375" style="4" customWidth="1"/>
    <col min="13816" max="13816" width="12.77734375" style="4" customWidth="1"/>
    <col min="13817" max="13817" width="14.44140625" style="4" customWidth="1"/>
    <col min="13818" max="13818" width="12.21875" style="4" customWidth="1"/>
    <col min="13819" max="13820" width="11.77734375" style="4" customWidth="1"/>
    <col min="13821" max="14069" width="9.21875" style="4"/>
    <col min="14070" max="14070" width="6.44140625" style="4" customWidth="1"/>
    <col min="14071" max="14071" width="47.77734375" style="4" customWidth="1"/>
    <col min="14072" max="14072" width="12.77734375" style="4" customWidth="1"/>
    <col min="14073" max="14073" width="14.44140625" style="4" customWidth="1"/>
    <col min="14074" max="14074" width="12.21875" style="4" customWidth="1"/>
    <col min="14075" max="14076" width="11.77734375" style="4" customWidth="1"/>
    <col min="14077" max="14325" width="9.21875" style="4"/>
    <col min="14326" max="14326" width="6.44140625" style="4" customWidth="1"/>
    <col min="14327" max="14327" width="47.77734375" style="4" customWidth="1"/>
    <col min="14328" max="14328" width="12.77734375" style="4" customWidth="1"/>
    <col min="14329" max="14329" width="14.44140625" style="4" customWidth="1"/>
    <col min="14330" max="14330" width="12.21875" style="4" customWidth="1"/>
    <col min="14331" max="14332" width="11.77734375" style="4" customWidth="1"/>
    <col min="14333" max="14581" width="9.21875" style="4"/>
    <col min="14582" max="14582" width="6.44140625" style="4" customWidth="1"/>
    <col min="14583" max="14583" width="47.77734375" style="4" customWidth="1"/>
    <col min="14584" max="14584" width="12.77734375" style="4" customWidth="1"/>
    <col min="14585" max="14585" width="14.44140625" style="4" customWidth="1"/>
    <col min="14586" max="14586" width="12.21875" style="4" customWidth="1"/>
    <col min="14587" max="14588" width="11.77734375" style="4" customWidth="1"/>
    <col min="14589" max="14837" width="9.21875" style="4"/>
    <col min="14838" max="14838" width="6.44140625" style="4" customWidth="1"/>
    <col min="14839" max="14839" width="47.77734375" style="4" customWidth="1"/>
    <col min="14840" max="14840" width="12.77734375" style="4" customWidth="1"/>
    <col min="14841" max="14841" width="14.44140625" style="4" customWidth="1"/>
    <col min="14842" max="14842" width="12.21875" style="4" customWidth="1"/>
    <col min="14843" max="14844" width="11.77734375" style="4" customWidth="1"/>
    <col min="14845" max="15093" width="9.21875" style="4"/>
    <col min="15094" max="15094" width="6.44140625" style="4" customWidth="1"/>
    <col min="15095" max="15095" width="47.77734375" style="4" customWidth="1"/>
    <col min="15096" max="15096" width="12.77734375" style="4" customWidth="1"/>
    <col min="15097" max="15097" width="14.44140625" style="4" customWidth="1"/>
    <col min="15098" max="15098" width="12.21875" style="4" customWidth="1"/>
    <col min="15099" max="15100" width="11.77734375" style="4" customWidth="1"/>
    <col min="15101" max="15349" width="9.21875" style="4"/>
    <col min="15350" max="15350" width="6.44140625" style="4" customWidth="1"/>
    <col min="15351" max="15351" width="47.77734375" style="4" customWidth="1"/>
    <col min="15352" max="15352" width="12.77734375" style="4" customWidth="1"/>
    <col min="15353" max="15353" width="14.44140625" style="4" customWidth="1"/>
    <col min="15354" max="15354" width="12.21875" style="4" customWidth="1"/>
    <col min="15355" max="15356" width="11.77734375" style="4" customWidth="1"/>
    <col min="15357" max="15605" width="9.21875" style="4"/>
    <col min="15606" max="15606" width="6.44140625" style="4" customWidth="1"/>
    <col min="15607" max="15607" width="47.77734375" style="4" customWidth="1"/>
    <col min="15608" max="15608" width="12.77734375" style="4" customWidth="1"/>
    <col min="15609" max="15609" width="14.44140625" style="4" customWidth="1"/>
    <col min="15610" max="15610" width="12.21875" style="4" customWidth="1"/>
    <col min="15611" max="15612" width="11.77734375" style="4" customWidth="1"/>
    <col min="15613" max="15861" width="9.21875" style="4"/>
    <col min="15862" max="15862" width="6.44140625" style="4" customWidth="1"/>
    <col min="15863" max="15863" width="47.77734375" style="4" customWidth="1"/>
    <col min="15864" max="15864" width="12.77734375" style="4" customWidth="1"/>
    <col min="15865" max="15865" width="14.44140625" style="4" customWidth="1"/>
    <col min="15866" max="15866" width="12.21875" style="4" customWidth="1"/>
    <col min="15867" max="15868" width="11.77734375" style="4" customWidth="1"/>
    <col min="15869" max="16117" width="9.21875" style="4"/>
    <col min="16118" max="16118" width="6.44140625" style="4" customWidth="1"/>
    <col min="16119" max="16119" width="47.77734375" style="4" customWidth="1"/>
    <col min="16120" max="16120" width="12.77734375" style="4" customWidth="1"/>
    <col min="16121" max="16121" width="14.44140625" style="4" customWidth="1"/>
    <col min="16122" max="16122" width="12.21875" style="4" customWidth="1"/>
    <col min="16123" max="16124" width="11.77734375" style="4" customWidth="1"/>
    <col min="16125" max="16384" width="9.21875" style="4"/>
  </cols>
  <sheetData>
    <row r="1" spans="1:17" x14ac:dyDescent="0.25">
      <c r="A1" s="88"/>
      <c r="B1" s="88"/>
      <c r="E1" s="89"/>
    </row>
    <row r="2" spans="1:17" x14ac:dyDescent="0.25">
      <c r="A2" s="88"/>
      <c r="B2" s="88"/>
    </row>
    <row r="3" spans="1:17" ht="24.45" customHeight="1" x14ac:dyDescent="0.25">
      <c r="A3" s="243" t="s">
        <v>290</v>
      </c>
      <c r="B3" s="243"/>
      <c r="C3" s="243"/>
      <c r="D3" s="129"/>
      <c r="E3" s="129"/>
    </row>
    <row r="4" spans="1:17" x14ac:dyDescent="0.25">
      <c r="A4" s="129"/>
      <c r="B4" s="129"/>
    </row>
    <row r="5" spans="1:17" x14ac:dyDescent="0.25">
      <c r="A5" s="88"/>
      <c r="B5" s="88"/>
    </row>
    <row r="6" spans="1:17" ht="23.55" customHeight="1" x14ac:dyDescent="0.25">
      <c r="A6" s="244" t="s">
        <v>86</v>
      </c>
      <c r="B6" s="244" t="s">
        <v>91</v>
      </c>
      <c r="C6" s="86" t="s">
        <v>305</v>
      </c>
      <c r="D6" s="36" t="s">
        <v>291</v>
      </c>
      <c r="E6" s="90" t="s">
        <v>291</v>
      </c>
      <c r="F6" s="246" t="s">
        <v>457</v>
      </c>
      <c r="G6" s="247"/>
      <c r="H6" s="240" t="s">
        <v>454</v>
      </c>
      <c r="I6" s="240" t="s">
        <v>455</v>
      </c>
      <c r="J6" s="246" t="s">
        <v>456</v>
      </c>
      <c r="K6" s="247"/>
      <c r="L6" s="240" t="s">
        <v>458</v>
      </c>
      <c r="M6" s="240" t="s">
        <v>455</v>
      </c>
      <c r="N6" s="246" t="s">
        <v>459</v>
      </c>
      <c r="O6" s="247"/>
      <c r="P6" s="242" t="s">
        <v>474</v>
      </c>
      <c r="Q6" s="240" t="s">
        <v>455</v>
      </c>
    </row>
    <row r="7" spans="1:17" ht="52.8" x14ac:dyDescent="0.25">
      <c r="A7" s="245"/>
      <c r="B7" s="245"/>
      <c r="C7" s="36" t="s">
        <v>304</v>
      </c>
      <c r="D7" s="36" t="s">
        <v>306</v>
      </c>
      <c r="E7" s="90" t="s">
        <v>324</v>
      </c>
      <c r="F7" s="36" t="s">
        <v>291</v>
      </c>
      <c r="G7" s="86" t="s">
        <v>305</v>
      </c>
      <c r="H7" s="241"/>
      <c r="I7" s="241"/>
      <c r="J7" s="36" t="s">
        <v>291</v>
      </c>
      <c r="K7" s="86" t="s">
        <v>305</v>
      </c>
      <c r="L7" s="241"/>
      <c r="M7" s="241"/>
      <c r="N7" s="36" t="s">
        <v>291</v>
      </c>
      <c r="O7" s="86" t="s">
        <v>305</v>
      </c>
      <c r="P7" s="242"/>
      <c r="Q7" s="241"/>
    </row>
    <row r="8" spans="1:17" x14ac:dyDescent="0.25">
      <c r="A8" s="127">
        <v>1</v>
      </c>
      <c r="B8" s="127">
        <v>2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9" spans="1:17" x14ac:dyDescent="0.25">
      <c r="A9" s="30" t="s">
        <v>1</v>
      </c>
      <c r="B9" s="91" t="s">
        <v>157</v>
      </c>
      <c r="C9" s="78">
        <v>1217.0317736555569</v>
      </c>
      <c r="D9" s="78">
        <v>2025.5</v>
      </c>
      <c r="E9" s="78">
        <f>D9-C9</f>
        <v>808.46822634444311</v>
      </c>
      <c r="F9" s="78">
        <v>2879</v>
      </c>
      <c r="G9" s="78">
        <v>2057.25</v>
      </c>
      <c r="H9" s="78">
        <v>2051.5500000000002</v>
      </c>
      <c r="I9" s="78">
        <f>H9-G9</f>
        <v>-5.6999999999998181</v>
      </c>
      <c r="J9" s="77">
        <v>4119.97</v>
      </c>
      <c r="K9" s="77">
        <v>2216.44</v>
      </c>
      <c r="L9" s="77">
        <v>1846.34</v>
      </c>
      <c r="M9" s="78">
        <f>L9-K9</f>
        <v>-370.10000000000014</v>
      </c>
      <c r="N9" s="77">
        <v>4621.03</v>
      </c>
      <c r="O9" s="77">
        <v>2297.41</v>
      </c>
      <c r="P9" s="77">
        <v>968.28</v>
      </c>
      <c r="Q9" s="77">
        <f>P9-O9</f>
        <v>-1329.1299999999999</v>
      </c>
    </row>
    <row r="10" spans="1:17" x14ac:dyDescent="0.25">
      <c r="A10" s="30" t="s">
        <v>2</v>
      </c>
      <c r="B10" s="91" t="s">
        <v>292</v>
      </c>
      <c r="C10" s="79">
        <v>2069.4876643642392</v>
      </c>
      <c r="D10" s="79">
        <v>1814.3</v>
      </c>
      <c r="E10" s="78">
        <f t="shared" ref="E10:E53" si="0">D10-C10</f>
        <v>-255.18766436423925</v>
      </c>
      <c r="F10" s="78">
        <v>3577</v>
      </c>
      <c r="G10" s="78">
        <v>2154.38</v>
      </c>
      <c r="H10" s="78">
        <v>2271.4499999999998</v>
      </c>
      <c r="I10" s="78">
        <f t="shared" ref="I10:I53" si="1">H10-G10</f>
        <v>117.06999999999971</v>
      </c>
      <c r="J10" s="77">
        <v>5391.1</v>
      </c>
      <c r="K10" s="77">
        <v>2321.08</v>
      </c>
      <c r="L10" s="77">
        <v>3691.38</v>
      </c>
      <c r="M10" s="78">
        <f t="shared" ref="M10:M41" si="2">L10-K10</f>
        <v>1370.3000000000002</v>
      </c>
      <c r="N10" s="77">
        <v>2897.8</v>
      </c>
      <c r="O10" s="77">
        <v>2405.87</v>
      </c>
      <c r="P10" s="77">
        <v>3092.23</v>
      </c>
      <c r="Q10" s="77">
        <f>P10-O10</f>
        <v>686.36000000000013</v>
      </c>
    </row>
    <row r="11" spans="1:17" x14ac:dyDescent="0.25">
      <c r="A11" s="30"/>
      <c r="B11" s="91" t="s">
        <v>158</v>
      </c>
      <c r="C11" s="77"/>
      <c r="D11" s="77"/>
      <c r="E11" s="78">
        <f t="shared" si="0"/>
        <v>0</v>
      </c>
      <c r="F11" s="78"/>
      <c r="G11" s="78"/>
      <c r="H11" s="78"/>
      <c r="I11" s="78">
        <f t="shared" si="1"/>
        <v>0</v>
      </c>
      <c r="J11" s="77"/>
      <c r="K11" s="77"/>
      <c r="L11" s="77"/>
      <c r="M11" s="78">
        <f t="shared" si="2"/>
        <v>0</v>
      </c>
      <c r="N11" s="77"/>
      <c r="O11" s="77"/>
      <c r="P11" s="77"/>
      <c r="Q11" s="77"/>
    </row>
    <row r="12" spans="1:17" x14ac:dyDescent="0.25">
      <c r="A12" s="30" t="s">
        <v>3</v>
      </c>
      <c r="B12" s="91" t="s">
        <v>253</v>
      </c>
      <c r="C12" s="77"/>
      <c r="D12" s="77"/>
      <c r="E12" s="78">
        <f t="shared" si="0"/>
        <v>0</v>
      </c>
      <c r="F12" s="78"/>
      <c r="G12" s="78"/>
      <c r="H12" s="78">
        <v>317.75</v>
      </c>
      <c r="I12" s="78">
        <f t="shared" si="1"/>
        <v>317.75</v>
      </c>
      <c r="J12" s="77">
        <v>1913.4</v>
      </c>
      <c r="K12" s="77"/>
      <c r="L12" s="77">
        <v>1690.28</v>
      </c>
      <c r="M12" s="78">
        <f t="shared" si="2"/>
        <v>1690.28</v>
      </c>
      <c r="N12" s="77"/>
      <c r="O12" s="77"/>
      <c r="P12" s="77">
        <v>757.31</v>
      </c>
      <c r="Q12" s="77">
        <f t="shared" ref="Q12:Q13" si="3">P12-O12</f>
        <v>757.31</v>
      </c>
    </row>
    <row r="13" spans="1:17" x14ac:dyDescent="0.25">
      <c r="A13" s="30"/>
      <c r="B13" s="91" t="s">
        <v>158</v>
      </c>
      <c r="C13" s="77"/>
      <c r="D13" s="77"/>
      <c r="E13" s="78">
        <f t="shared" si="0"/>
        <v>0</v>
      </c>
      <c r="F13" s="78"/>
      <c r="G13" s="78"/>
      <c r="H13" s="78">
        <v>223.53</v>
      </c>
      <c r="I13" s="78">
        <f t="shared" si="1"/>
        <v>223.53</v>
      </c>
      <c r="J13" s="77"/>
      <c r="K13" s="77"/>
      <c r="L13" s="77"/>
      <c r="M13" s="78">
        <f t="shared" si="2"/>
        <v>0</v>
      </c>
      <c r="N13" s="77"/>
      <c r="O13" s="77"/>
      <c r="P13" s="77">
        <v>140.97</v>
      </c>
      <c r="Q13" s="77">
        <f t="shared" si="3"/>
        <v>140.97</v>
      </c>
    </row>
    <row r="14" spans="1:17" x14ac:dyDescent="0.25">
      <c r="A14" s="30" t="s">
        <v>89</v>
      </c>
      <c r="B14" s="91" t="s">
        <v>159</v>
      </c>
      <c r="C14" s="79"/>
      <c r="D14" s="79"/>
      <c r="E14" s="78">
        <f t="shared" si="0"/>
        <v>0</v>
      </c>
      <c r="F14" s="78"/>
      <c r="G14" s="78"/>
      <c r="H14" s="78"/>
      <c r="I14" s="78">
        <f t="shared" si="1"/>
        <v>0</v>
      </c>
      <c r="J14" s="77"/>
      <c r="K14" s="77"/>
      <c r="L14" s="77"/>
      <c r="M14" s="78">
        <f t="shared" si="2"/>
        <v>0</v>
      </c>
      <c r="N14" s="77"/>
      <c r="O14" s="77"/>
      <c r="P14" s="77"/>
      <c r="Q14" s="77"/>
    </row>
    <row r="15" spans="1:17" x14ac:dyDescent="0.25">
      <c r="A15" s="30" t="s">
        <v>93</v>
      </c>
      <c r="B15" s="91" t="s">
        <v>160</v>
      </c>
      <c r="C15" s="78">
        <v>95.640749849999992</v>
      </c>
      <c r="D15" s="78">
        <f>D17</f>
        <v>45.5</v>
      </c>
      <c r="E15" s="78">
        <f t="shared" si="0"/>
        <v>-50.140749849999992</v>
      </c>
      <c r="F15" s="78">
        <v>890</v>
      </c>
      <c r="G15" s="78">
        <v>136.43</v>
      </c>
      <c r="H15" s="78">
        <v>180.35</v>
      </c>
      <c r="I15" s="78">
        <f t="shared" si="1"/>
        <v>43.919999999999987</v>
      </c>
      <c r="J15" s="77">
        <v>205.5</v>
      </c>
      <c r="K15" s="77">
        <v>203.25</v>
      </c>
      <c r="L15" s="77">
        <f>L16+L17</f>
        <v>229.07999999999998</v>
      </c>
      <c r="M15" s="78">
        <f t="shared" si="2"/>
        <v>25.829999999999984</v>
      </c>
      <c r="N15" s="77">
        <v>283.10000000000002</v>
      </c>
      <c r="O15" s="77">
        <v>266.01</v>
      </c>
      <c r="P15" s="77">
        <v>240.2</v>
      </c>
      <c r="Q15" s="77">
        <f t="shared" ref="Q15:Q18" si="4">P15-O15</f>
        <v>-25.810000000000002</v>
      </c>
    </row>
    <row r="16" spans="1:17" x14ac:dyDescent="0.25">
      <c r="A16" s="30" t="s">
        <v>161</v>
      </c>
      <c r="B16" s="91" t="s">
        <v>162</v>
      </c>
      <c r="C16" s="78">
        <v>0</v>
      </c>
      <c r="D16" s="78">
        <v>0</v>
      </c>
      <c r="E16" s="78">
        <f t="shared" si="0"/>
        <v>0</v>
      </c>
      <c r="F16" s="78">
        <v>762</v>
      </c>
      <c r="G16" s="78">
        <v>0</v>
      </c>
      <c r="H16" s="78"/>
      <c r="I16" s="78">
        <f t="shared" si="1"/>
        <v>0</v>
      </c>
      <c r="J16" s="77"/>
      <c r="K16" s="77"/>
      <c r="L16" s="77">
        <v>37.01</v>
      </c>
      <c r="M16" s="78">
        <f t="shared" si="2"/>
        <v>37.01</v>
      </c>
      <c r="N16" s="77">
        <v>64.2</v>
      </c>
      <c r="O16" s="77">
        <v>64.2</v>
      </c>
      <c r="P16" s="77">
        <v>49.2</v>
      </c>
      <c r="Q16" s="77">
        <f t="shared" si="4"/>
        <v>-15</v>
      </c>
    </row>
    <row r="17" spans="1:17" x14ac:dyDescent="0.25">
      <c r="A17" s="30" t="s">
        <v>163</v>
      </c>
      <c r="B17" s="91" t="s">
        <v>164</v>
      </c>
      <c r="C17" s="78">
        <v>95.640749849999992</v>
      </c>
      <c r="D17" s="78">
        <v>45.5</v>
      </c>
      <c r="E17" s="78">
        <f t="shared" si="0"/>
        <v>-50.140749849999992</v>
      </c>
      <c r="F17" s="78">
        <v>128</v>
      </c>
      <c r="G17" s="78">
        <v>136.43</v>
      </c>
      <c r="H17" s="78">
        <v>180.35</v>
      </c>
      <c r="I17" s="78">
        <f t="shared" si="1"/>
        <v>43.919999999999987</v>
      </c>
      <c r="J17" s="77">
        <v>205.5</v>
      </c>
      <c r="K17" s="77">
        <v>203.25</v>
      </c>
      <c r="L17" s="77">
        <v>192.07</v>
      </c>
      <c r="M17" s="78">
        <f t="shared" si="2"/>
        <v>-11.180000000000007</v>
      </c>
      <c r="N17" s="77">
        <v>218.9</v>
      </c>
      <c r="O17" s="77">
        <v>201.81</v>
      </c>
      <c r="P17" s="77">
        <v>191</v>
      </c>
      <c r="Q17" s="77">
        <f t="shared" si="4"/>
        <v>-10.810000000000002</v>
      </c>
    </row>
    <row r="18" spans="1:17" x14ac:dyDescent="0.25">
      <c r="A18" s="30" t="s">
        <v>95</v>
      </c>
      <c r="B18" s="91" t="s">
        <v>165</v>
      </c>
      <c r="C18" s="79">
        <v>14583.946915963425</v>
      </c>
      <c r="D18" s="79">
        <v>16983</v>
      </c>
      <c r="E18" s="78">
        <f t="shared" si="0"/>
        <v>2399.0530840365755</v>
      </c>
      <c r="F18" s="78">
        <v>82557</v>
      </c>
      <c r="G18" s="78">
        <v>28088.3</v>
      </c>
      <c r="H18" s="78">
        <v>27380.42</v>
      </c>
      <c r="I18" s="78">
        <f t="shared" si="1"/>
        <v>-707.88000000000102</v>
      </c>
      <c r="J18" s="77">
        <v>82157.05</v>
      </c>
      <c r="K18" s="77">
        <v>30261.72</v>
      </c>
      <c r="L18" s="77">
        <v>32665.73</v>
      </c>
      <c r="M18" s="78">
        <f t="shared" si="2"/>
        <v>2404.0099999999984</v>
      </c>
      <c r="N18" s="77">
        <v>32781.269999999997</v>
      </c>
      <c r="O18" s="77">
        <v>31367.18</v>
      </c>
      <c r="P18" s="77">
        <v>35221.279999999999</v>
      </c>
      <c r="Q18" s="77">
        <f t="shared" si="4"/>
        <v>3854.0999999999985</v>
      </c>
    </row>
    <row r="19" spans="1:17" x14ac:dyDescent="0.25">
      <c r="A19" s="30"/>
      <c r="B19" s="91" t="s">
        <v>158</v>
      </c>
      <c r="C19" s="77"/>
      <c r="D19" s="77"/>
      <c r="E19" s="78">
        <f t="shared" si="0"/>
        <v>0</v>
      </c>
      <c r="F19" s="78"/>
      <c r="G19" s="78"/>
      <c r="H19" s="78"/>
      <c r="I19" s="78">
        <f t="shared" si="1"/>
        <v>0</v>
      </c>
      <c r="J19" s="77"/>
      <c r="K19" s="77"/>
      <c r="L19" s="77"/>
      <c r="M19" s="78">
        <f t="shared" si="2"/>
        <v>0</v>
      </c>
      <c r="N19" s="77"/>
      <c r="O19" s="77"/>
      <c r="P19" s="77"/>
      <c r="Q19" s="77"/>
    </row>
    <row r="20" spans="1:17" x14ac:dyDescent="0.25">
      <c r="A20" s="30" t="s">
        <v>4</v>
      </c>
      <c r="B20" s="92" t="s">
        <v>166</v>
      </c>
      <c r="C20" s="78">
        <v>4433.5198624528812</v>
      </c>
      <c r="D20" s="78">
        <v>4902</v>
      </c>
      <c r="E20" s="78">
        <f t="shared" si="0"/>
        <v>468.48013754711883</v>
      </c>
      <c r="F20" s="78">
        <v>25097</v>
      </c>
      <c r="G20" s="78">
        <v>8538.84</v>
      </c>
      <c r="H20" s="78">
        <v>7794</v>
      </c>
      <c r="I20" s="78">
        <f t="shared" si="1"/>
        <v>-744.84000000000015</v>
      </c>
      <c r="J20" s="77">
        <v>24714.91</v>
      </c>
      <c r="K20" s="77">
        <v>9199.56</v>
      </c>
      <c r="L20" s="77">
        <v>9289.61</v>
      </c>
      <c r="M20" s="78">
        <f t="shared" si="2"/>
        <v>90.050000000001091</v>
      </c>
      <c r="N20" s="77">
        <v>9907.93</v>
      </c>
      <c r="O20" s="77">
        <v>9535.6200000000008</v>
      </c>
      <c r="P20" s="77">
        <v>10206</v>
      </c>
      <c r="Q20" s="77">
        <f>P20-O20</f>
        <v>670.3799999999992</v>
      </c>
    </row>
    <row r="21" spans="1:17" x14ac:dyDescent="0.25">
      <c r="A21" s="30"/>
      <c r="B21" s="91" t="s">
        <v>158</v>
      </c>
      <c r="C21" s="77"/>
      <c r="D21" s="77"/>
      <c r="E21" s="78">
        <f t="shared" si="0"/>
        <v>0</v>
      </c>
      <c r="F21" s="78"/>
      <c r="G21" s="78"/>
      <c r="H21" s="78"/>
      <c r="I21" s="78">
        <f t="shared" si="1"/>
        <v>0</v>
      </c>
      <c r="J21" s="77"/>
      <c r="K21" s="77"/>
      <c r="L21" s="77"/>
      <c r="M21" s="78">
        <f t="shared" si="2"/>
        <v>0</v>
      </c>
      <c r="N21" s="77"/>
      <c r="O21" s="77"/>
      <c r="P21" s="77"/>
      <c r="Q21" s="77"/>
    </row>
    <row r="22" spans="1:17" x14ac:dyDescent="0.25">
      <c r="A22" s="30" t="s">
        <v>96</v>
      </c>
      <c r="B22" s="93" t="s">
        <v>167</v>
      </c>
      <c r="C22" s="78">
        <v>1227.89960811525</v>
      </c>
      <c r="D22" s="78">
        <v>2050</v>
      </c>
      <c r="E22" s="78">
        <f t="shared" si="0"/>
        <v>822.10039188475002</v>
      </c>
      <c r="F22" s="78">
        <v>10947.46</v>
      </c>
      <c r="G22" s="78">
        <v>10947.46</v>
      </c>
      <c r="H22" s="78">
        <v>4680</v>
      </c>
      <c r="I22" s="78">
        <f t="shared" si="1"/>
        <v>-6267.4599999999991</v>
      </c>
      <c r="J22" s="77">
        <v>14010.6</v>
      </c>
      <c r="K22" s="77">
        <v>10947.46</v>
      </c>
      <c r="L22" s="77">
        <v>5891.47</v>
      </c>
      <c r="M22" s="78">
        <f t="shared" si="2"/>
        <v>-5055.9899999999989</v>
      </c>
      <c r="N22" s="77">
        <v>10947.46</v>
      </c>
      <c r="O22" s="77">
        <v>10947.46</v>
      </c>
      <c r="P22" s="77">
        <v>6037.55</v>
      </c>
      <c r="Q22" s="77">
        <f t="shared" ref="Q22:Q23" si="5">P22-O22</f>
        <v>-4909.9099999999989</v>
      </c>
    </row>
    <row r="23" spans="1:17" x14ac:dyDescent="0.25">
      <c r="A23" s="30" t="s">
        <v>97</v>
      </c>
      <c r="B23" s="91" t="s">
        <v>168</v>
      </c>
      <c r="C23" s="78">
        <v>7121.6024185763981</v>
      </c>
      <c r="D23" s="78">
        <f>D24+D25+D27+D30+D34</f>
        <v>10344.08</v>
      </c>
      <c r="E23" s="78">
        <f t="shared" si="0"/>
        <v>3222.4775814236018</v>
      </c>
      <c r="F23" s="78">
        <v>20062</v>
      </c>
      <c r="G23" s="78">
        <v>10126.57</v>
      </c>
      <c r="H23" s="78">
        <v>13834.98</v>
      </c>
      <c r="I23" s="78">
        <f t="shared" si="1"/>
        <v>3708.41</v>
      </c>
      <c r="J23" s="77">
        <v>22011.11</v>
      </c>
      <c r="K23" s="77">
        <v>14787.16</v>
      </c>
      <c r="L23" s="77">
        <f>L25+L26+L27+L30+L34</f>
        <v>14845.660000000002</v>
      </c>
      <c r="M23" s="78">
        <f t="shared" si="2"/>
        <v>58.500000000001819</v>
      </c>
      <c r="N23" s="77">
        <v>20353.490000000002</v>
      </c>
      <c r="O23" s="77">
        <v>14822.81</v>
      </c>
      <c r="P23" s="77">
        <v>17620.91</v>
      </c>
      <c r="Q23" s="77">
        <f t="shared" si="5"/>
        <v>2798.1000000000004</v>
      </c>
    </row>
    <row r="24" spans="1:17" ht="26.4" x14ac:dyDescent="0.25">
      <c r="A24" s="94" t="s">
        <v>169</v>
      </c>
      <c r="B24" s="95" t="s">
        <v>328</v>
      </c>
      <c r="C24" s="79">
        <v>550</v>
      </c>
      <c r="D24" s="79">
        <v>550</v>
      </c>
      <c r="E24" s="78">
        <f t="shared" si="0"/>
        <v>0</v>
      </c>
      <c r="F24" s="78">
        <v>0</v>
      </c>
      <c r="G24" s="78">
        <v>0</v>
      </c>
      <c r="H24" s="78">
        <v>355.9</v>
      </c>
      <c r="I24" s="78">
        <f t="shared" si="1"/>
        <v>355.9</v>
      </c>
      <c r="J24" s="77">
        <v>420</v>
      </c>
      <c r="K24" s="77"/>
      <c r="L24" s="77"/>
      <c r="M24" s="78">
        <f t="shared" si="2"/>
        <v>0</v>
      </c>
      <c r="N24" s="77"/>
      <c r="O24" s="77"/>
      <c r="P24" s="77"/>
      <c r="Q24" s="77"/>
    </row>
    <row r="25" spans="1:17" x14ac:dyDescent="0.25">
      <c r="A25" s="30" t="s">
        <v>170</v>
      </c>
      <c r="B25" s="91" t="s">
        <v>293</v>
      </c>
      <c r="C25" s="78">
        <v>37.9</v>
      </c>
      <c r="D25" s="78">
        <v>43.8</v>
      </c>
      <c r="E25" s="78">
        <f t="shared" si="0"/>
        <v>5.8999999999999986</v>
      </c>
      <c r="F25" s="78">
        <v>40</v>
      </c>
      <c r="G25" s="78">
        <v>40</v>
      </c>
      <c r="H25" s="78">
        <v>51.6</v>
      </c>
      <c r="I25" s="78">
        <f t="shared" si="1"/>
        <v>11.600000000000001</v>
      </c>
      <c r="J25" s="77">
        <v>57.5</v>
      </c>
      <c r="K25" s="77"/>
      <c r="L25" s="77"/>
      <c r="M25" s="78">
        <f t="shared" si="2"/>
        <v>0</v>
      </c>
      <c r="N25" s="77">
        <v>58.1</v>
      </c>
      <c r="O25" s="77">
        <v>44.7</v>
      </c>
      <c r="P25" s="77">
        <v>54.75</v>
      </c>
      <c r="Q25" s="77">
        <f t="shared" ref="Q25:Q26" si="6">P25-O25</f>
        <v>10.049999999999997</v>
      </c>
    </row>
    <row r="26" spans="1:17" ht="16.2" customHeight="1" x14ac:dyDescent="0.25">
      <c r="A26" s="30" t="s">
        <v>171</v>
      </c>
      <c r="B26" s="91" t="s">
        <v>172</v>
      </c>
      <c r="C26" s="80"/>
      <c r="D26" s="77">
        <v>0</v>
      </c>
      <c r="E26" s="78">
        <f t="shared" si="0"/>
        <v>0</v>
      </c>
      <c r="F26" s="78">
        <v>6</v>
      </c>
      <c r="G26" s="78">
        <v>0</v>
      </c>
      <c r="H26" s="78">
        <v>33.1</v>
      </c>
      <c r="I26" s="78">
        <f t="shared" si="1"/>
        <v>33.1</v>
      </c>
      <c r="J26" s="77">
        <v>33.1</v>
      </c>
      <c r="K26" s="77"/>
      <c r="L26" s="77"/>
      <c r="M26" s="78">
        <f t="shared" si="2"/>
        <v>0</v>
      </c>
      <c r="N26" s="77">
        <v>19.100000000000001</v>
      </c>
      <c r="O26" s="77">
        <v>19.100000000000001</v>
      </c>
      <c r="P26" s="77">
        <v>19.43</v>
      </c>
      <c r="Q26" s="77">
        <f t="shared" si="6"/>
        <v>0.32999999999999829</v>
      </c>
    </row>
    <row r="27" spans="1:17" ht="103.05" customHeight="1" x14ac:dyDescent="0.25">
      <c r="A27" s="94" t="s">
        <v>294</v>
      </c>
      <c r="B27" s="91" t="s">
        <v>295</v>
      </c>
      <c r="C27" s="78">
        <v>5267.95</v>
      </c>
      <c r="D27" s="78">
        <v>5351.88</v>
      </c>
      <c r="E27" s="78">
        <f t="shared" si="0"/>
        <v>83.930000000000291</v>
      </c>
      <c r="F27" s="78">
        <v>9111</v>
      </c>
      <c r="G27" s="78">
        <v>5528.72</v>
      </c>
      <c r="H27" s="78">
        <v>9074.0499999999993</v>
      </c>
      <c r="I27" s="78">
        <f t="shared" si="1"/>
        <v>3545.329999999999</v>
      </c>
      <c r="J27" s="77">
        <v>13095.1</v>
      </c>
      <c r="K27" s="77">
        <v>9557.8700000000008</v>
      </c>
      <c r="L27" s="77">
        <v>9197.2800000000007</v>
      </c>
      <c r="M27" s="78">
        <f t="shared" si="2"/>
        <v>-360.59000000000015</v>
      </c>
      <c r="N27" s="77">
        <v>13144.83</v>
      </c>
      <c r="O27" s="77">
        <v>9531.93</v>
      </c>
      <c r="P27" s="77">
        <v>10583.75</v>
      </c>
      <c r="Q27" s="77">
        <f>P27-O27</f>
        <v>1051.8199999999997</v>
      </c>
    </row>
    <row r="28" spans="1:17" ht="26.4" x14ac:dyDescent="0.25">
      <c r="A28" s="30" t="s">
        <v>296</v>
      </c>
      <c r="B28" s="91" t="s">
        <v>297</v>
      </c>
      <c r="C28" s="80"/>
      <c r="D28" s="80"/>
      <c r="E28" s="78">
        <f t="shared" si="0"/>
        <v>0</v>
      </c>
      <c r="F28" s="78"/>
      <c r="G28" s="78"/>
      <c r="H28" s="78"/>
      <c r="I28" s="78">
        <f t="shared" si="1"/>
        <v>0</v>
      </c>
      <c r="J28" s="77"/>
      <c r="K28" s="77"/>
      <c r="L28" s="77"/>
      <c r="M28" s="78">
        <f t="shared" si="2"/>
        <v>0</v>
      </c>
      <c r="N28" s="77"/>
      <c r="O28" s="77"/>
      <c r="P28" s="77"/>
      <c r="Q28" s="77"/>
    </row>
    <row r="29" spans="1:17" x14ac:dyDescent="0.25">
      <c r="A29" s="30" t="s">
        <v>298</v>
      </c>
      <c r="B29" s="91" t="s">
        <v>299</v>
      </c>
      <c r="C29" s="78"/>
      <c r="D29" s="78"/>
      <c r="E29" s="78">
        <f t="shared" si="0"/>
        <v>0</v>
      </c>
      <c r="F29" s="78"/>
      <c r="G29" s="78"/>
      <c r="H29" s="78"/>
      <c r="I29" s="78">
        <f t="shared" si="1"/>
        <v>0</v>
      </c>
      <c r="J29" s="77"/>
      <c r="K29" s="77"/>
      <c r="L29" s="77"/>
      <c r="M29" s="78">
        <f t="shared" si="2"/>
        <v>0</v>
      </c>
      <c r="N29" s="77"/>
      <c r="O29" s="77"/>
      <c r="P29" s="77"/>
      <c r="Q29" s="77"/>
    </row>
    <row r="30" spans="1:17" ht="26.4" x14ac:dyDescent="0.25">
      <c r="A30" s="30" t="s">
        <v>173</v>
      </c>
      <c r="B30" s="91" t="s">
        <v>174</v>
      </c>
      <c r="C30" s="78">
        <v>314.2094675925</v>
      </c>
      <c r="D30" s="78">
        <v>821.9</v>
      </c>
      <c r="E30" s="78">
        <f t="shared" si="0"/>
        <v>507.69053240749997</v>
      </c>
      <c r="F30" s="78">
        <v>6354</v>
      </c>
      <c r="G30" s="78">
        <v>3034.88</v>
      </c>
      <c r="H30" s="78">
        <v>1926.26</v>
      </c>
      <c r="I30" s="78">
        <f t="shared" si="1"/>
        <v>-1108.6200000000001</v>
      </c>
      <c r="J30" s="77">
        <v>3676.2</v>
      </c>
      <c r="K30" s="77">
        <v>3526.28</v>
      </c>
      <c r="L30" s="77">
        <v>2914.3</v>
      </c>
      <c r="M30" s="78">
        <f t="shared" si="2"/>
        <v>-611.98</v>
      </c>
      <c r="N30" s="77">
        <v>3526.33</v>
      </c>
      <c r="O30" s="77">
        <v>3526.33</v>
      </c>
      <c r="P30" s="77">
        <v>2824.57</v>
      </c>
      <c r="Q30" s="77">
        <f>P30-O30</f>
        <v>-701.75999999999976</v>
      </c>
    </row>
    <row r="31" spans="1:17" x14ac:dyDescent="0.25">
      <c r="A31" s="30" t="s">
        <v>175</v>
      </c>
      <c r="B31" s="91" t="s">
        <v>176</v>
      </c>
      <c r="C31" s="77"/>
      <c r="D31" s="77"/>
      <c r="E31" s="78">
        <f t="shared" si="0"/>
        <v>0</v>
      </c>
      <c r="F31" s="78"/>
      <c r="G31" s="78"/>
      <c r="H31" s="78"/>
      <c r="I31" s="78">
        <f t="shared" si="1"/>
        <v>0</v>
      </c>
      <c r="J31" s="77"/>
      <c r="K31" s="77"/>
      <c r="L31" s="77"/>
      <c r="M31" s="78">
        <f t="shared" si="2"/>
        <v>0</v>
      </c>
      <c r="N31" s="77"/>
      <c r="O31" s="77"/>
      <c r="P31" s="77"/>
      <c r="Q31" s="77"/>
    </row>
    <row r="32" spans="1:17" x14ac:dyDescent="0.25">
      <c r="A32" s="30" t="s">
        <v>177</v>
      </c>
      <c r="B32" s="91" t="s">
        <v>178</v>
      </c>
      <c r="C32" s="78">
        <v>27.910499999999999</v>
      </c>
      <c r="D32" s="78">
        <v>32</v>
      </c>
      <c r="E32" s="78">
        <f t="shared" si="0"/>
        <v>4.089500000000001</v>
      </c>
      <c r="F32" s="78">
        <v>42</v>
      </c>
      <c r="G32" s="78">
        <v>39.71</v>
      </c>
      <c r="H32" s="78">
        <v>44.93</v>
      </c>
      <c r="I32" s="78">
        <f t="shared" si="1"/>
        <v>5.2199999999999989</v>
      </c>
      <c r="J32" s="77">
        <v>45.54</v>
      </c>
      <c r="K32" s="77">
        <v>45.55</v>
      </c>
      <c r="L32" s="77">
        <v>46.9</v>
      </c>
      <c r="M32" s="78">
        <f t="shared" si="2"/>
        <v>1.3500000000000014</v>
      </c>
      <c r="N32" s="77">
        <v>45.6</v>
      </c>
      <c r="O32" s="77">
        <v>45.6</v>
      </c>
      <c r="P32" s="77">
        <v>52.57</v>
      </c>
      <c r="Q32" s="77">
        <f t="shared" ref="Q32:Q39" si="7">P32-O32</f>
        <v>6.9699999999999989</v>
      </c>
    </row>
    <row r="33" spans="1:17" x14ac:dyDescent="0.25">
      <c r="A33" s="30" t="s">
        <v>179</v>
      </c>
      <c r="B33" s="91" t="s">
        <v>180</v>
      </c>
      <c r="C33" s="78">
        <v>286.29896759249999</v>
      </c>
      <c r="D33" s="78">
        <v>789.9</v>
      </c>
      <c r="E33" s="78">
        <f t="shared" si="0"/>
        <v>503.60103240749999</v>
      </c>
      <c r="F33" s="78">
        <v>6312</v>
      </c>
      <c r="G33" s="78">
        <v>2995.17</v>
      </c>
      <c r="H33" s="78">
        <v>1881.33</v>
      </c>
      <c r="I33" s="78">
        <f t="shared" si="1"/>
        <v>-1113.8400000000001</v>
      </c>
      <c r="J33" s="77">
        <v>3630.66</v>
      </c>
      <c r="K33" s="77">
        <v>3480.73</v>
      </c>
      <c r="L33" s="77">
        <v>2867.4</v>
      </c>
      <c r="M33" s="78">
        <f t="shared" si="2"/>
        <v>-613.32999999999993</v>
      </c>
      <c r="N33" s="77">
        <v>3480.73</v>
      </c>
      <c r="O33" s="77">
        <v>3480.73</v>
      </c>
      <c r="P33" s="79">
        <v>2772</v>
      </c>
      <c r="Q33" s="77">
        <f t="shared" si="7"/>
        <v>-708.73</v>
      </c>
    </row>
    <row r="34" spans="1:17" ht="26.4" x14ac:dyDescent="0.25">
      <c r="A34" s="30" t="s">
        <v>181</v>
      </c>
      <c r="B34" s="91" t="s">
        <v>300</v>
      </c>
      <c r="C34" s="79">
        <v>951.54295098389855</v>
      </c>
      <c r="D34" s="78">
        <v>3576.5</v>
      </c>
      <c r="E34" s="78">
        <f t="shared" si="0"/>
        <v>2624.9570490161013</v>
      </c>
      <c r="F34" s="78">
        <v>4551</v>
      </c>
      <c r="G34" s="78">
        <v>1522.97</v>
      </c>
      <c r="H34" s="78">
        <v>2394.04</v>
      </c>
      <c r="I34" s="78">
        <f t="shared" si="1"/>
        <v>871.06999999999994</v>
      </c>
      <c r="J34" s="77">
        <v>4742.28</v>
      </c>
      <c r="K34" s="77">
        <v>1703.01</v>
      </c>
      <c r="L34" s="77">
        <v>2734.08</v>
      </c>
      <c r="M34" s="78">
        <f t="shared" si="2"/>
        <v>1031.07</v>
      </c>
      <c r="N34" s="77">
        <v>3605.18</v>
      </c>
      <c r="O34" s="77">
        <v>1700.76</v>
      </c>
      <c r="P34" s="77">
        <v>4138.41</v>
      </c>
      <c r="Q34" s="77">
        <f t="shared" si="7"/>
        <v>2437.6499999999996</v>
      </c>
    </row>
    <row r="35" spans="1:17" x14ac:dyDescent="0.25">
      <c r="A35" s="30" t="s">
        <v>182</v>
      </c>
      <c r="B35" s="91" t="s">
        <v>301</v>
      </c>
      <c r="C35" s="77"/>
      <c r="D35" s="77"/>
      <c r="E35" s="78">
        <f t="shared" si="0"/>
        <v>0</v>
      </c>
      <c r="F35" s="78"/>
      <c r="G35" s="78"/>
      <c r="H35" s="78"/>
      <c r="I35" s="78">
        <f t="shared" si="1"/>
        <v>0</v>
      </c>
      <c r="J35" s="77"/>
      <c r="K35" s="77"/>
      <c r="L35" s="77"/>
      <c r="M35" s="78">
        <f t="shared" si="2"/>
        <v>0</v>
      </c>
      <c r="N35" s="77"/>
      <c r="O35" s="77"/>
      <c r="P35" s="77"/>
      <c r="Q35" s="77">
        <f t="shared" si="7"/>
        <v>0</v>
      </c>
    </row>
    <row r="36" spans="1:17" ht="10.050000000000001" customHeight="1" x14ac:dyDescent="0.25">
      <c r="A36" s="32" t="s">
        <v>496</v>
      </c>
      <c r="B36" s="91" t="s">
        <v>497</v>
      </c>
      <c r="C36" s="77"/>
      <c r="D36" s="77"/>
      <c r="E36" s="78">
        <f t="shared" si="0"/>
        <v>0</v>
      </c>
      <c r="F36" s="78"/>
      <c r="G36" s="78"/>
      <c r="H36" s="78"/>
      <c r="I36" s="78">
        <f t="shared" si="1"/>
        <v>0</v>
      </c>
      <c r="J36" s="77"/>
      <c r="K36" s="77"/>
      <c r="L36" s="77"/>
      <c r="M36" s="78">
        <f t="shared" si="2"/>
        <v>0</v>
      </c>
      <c r="N36" s="77"/>
      <c r="O36" s="77"/>
      <c r="P36" s="77">
        <v>343.67</v>
      </c>
      <c r="Q36" s="77">
        <f t="shared" si="7"/>
        <v>343.67</v>
      </c>
    </row>
    <row r="37" spans="1:17" x14ac:dyDescent="0.25">
      <c r="A37" s="30" t="s">
        <v>98</v>
      </c>
      <c r="B37" s="96" t="s">
        <v>183</v>
      </c>
      <c r="C37" s="81">
        <v>30749.128992977749</v>
      </c>
      <c r="D37" s="81">
        <v>38164.400000000001</v>
      </c>
      <c r="E37" s="82">
        <f t="shared" si="0"/>
        <v>7415.2710070222529</v>
      </c>
      <c r="F37" s="82">
        <v>145940</v>
      </c>
      <c r="G37" s="82">
        <v>62049.24</v>
      </c>
      <c r="H37" s="82">
        <v>58510.5</v>
      </c>
      <c r="I37" s="82">
        <f t="shared" si="1"/>
        <v>-3538.739999999998</v>
      </c>
      <c r="J37" s="83">
        <v>154523.14000000001</v>
      </c>
      <c r="K37" s="83">
        <v>69936.67</v>
      </c>
      <c r="L37" s="83">
        <f>L9+L10+L12+L15+L18+L20+L22+L23</f>
        <v>70149.55</v>
      </c>
      <c r="M37" s="82">
        <f t="shared" si="2"/>
        <v>212.88000000000466</v>
      </c>
      <c r="N37" s="83">
        <v>81792.08</v>
      </c>
      <c r="O37" s="83">
        <v>71642.350000000006</v>
      </c>
      <c r="P37" s="83">
        <v>74487.429999999993</v>
      </c>
      <c r="Q37" s="83">
        <f t="shared" si="7"/>
        <v>2845.0799999999872</v>
      </c>
    </row>
    <row r="38" spans="1:17" ht="26.4" x14ac:dyDescent="0.25">
      <c r="A38" s="30" t="s">
        <v>99</v>
      </c>
      <c r="B38" s="91" t="s">
        <v>184</v>
      </c>
      <c r="C38" s="77"/>
      <c r="D38" s="77"/>
      <c r="E38" s="78">
        <f t="shared" si="0"/>
        <v>0</v>
      </c>
      <c r="F38" s="78">
        <v>696.75</v>
      </c>
      <c r="G38" s="78">
        <v>2452.17</v>
      </c>
      <c r="H38" s="78"/>
      <c r="I38" s="78">
        <f t="shared" si="1"/>
        <v>-2452.17</v>
      </c>
      <c r="J38" s="77"/>
      <c r="K38" s="77">
        <v>1849.82</v>
      </c>
      <c r="L38" s="77">
        <v>10676.78</v>
      </c>
      <c r="M38" s="78">
        <f t="shared" si="2"/>
        <v>8826.9600000000009</v>
      </c>
      <c r="N38" s="77"/>
      <c r="O38" s="77"/>
      <c r="P38" s="77">
        <v>10655.97</v>
      </c>
      <c r="Q38" s="77">
        <f t="shared" si="7"/>
        <v>10655.97</v>
      </c>
    </row>
    <row r="39" spans="1:17" ht="24" customHeight="1" x14ac:dyDescent="0.25">
      <c r="A39" s="30" t="s">
        <v>185</v>
      </c>
      <c r="B39" s="91" t="s">
        <v>186</v>
      </c>
      <c r="C39" s="77"/>
      <c r="D39" s="77"/>
      <c r="E39" s="78">
        <f t="shared" si="0"/>
        <v>0</v>
      </c>
      <c r="F39" s="78"/>
      <c r="G39" s="78"/>
      <c r="H39" s="78"/>
      <c r="I39" s="78">
        <f t="shared" si="1"/>
        <v>0</v>
      </c>
      <c r="J39" s="77"/>
      <c r="K39" s="77"/>
      <c r="L39" s="77"/>
      <c r="M39" s="78">
        <f t="shared" si="2"/>
        <v>0</v>
      </c>
      <c r="N39" s="77"/>
      <c r="O39" s="77">
        <v>-6378.51</v>
      </c>
      <c r="P39" s="77"/>
      <c r="Q39" s="77">
        <f t="shared" si="7"/>
        <v>6378.51</v>
      </c>
    </row>
    <row r="40" spans="1:17" x14ac:dyDescent="0.25">
      <c r="A40" s="30"/>
      <c r="B40" s="91"/>
      <c r="C40" s="77"/>
      <c r="D40" s="77"/>
      <c r="E40" s="78">
        <f t="shared" si="0"/>
        <v>0</v>
      </c>
      <c r="F40" s="78"/>
      <c r="G40" s="78"/>
      <c r="H40" s="78"/>
      <c r="I40" s="78">
        <f t="shared" si="1"/>
        <v>0</v>
      </c>
      <c r="J40" s="77"/>
      <c r="K40" s="77"/>
      <c r="L40" s="77"/>
      <c r="M40" s="78">
        <f t="shared" si="2"/>
        <v>0</v>
      </c>
      <c r="N40" s="77"/>
      <c r="O40" s="77"/>
      <c r="P40" s="77"/>
      <c r="Q40" s="77"/>
    </row>
    <row r="41" spans="1:17" x14ac:dyDescent="0.25">
      <c r="A41" s="31" t="s">
        <v>187</v>
      </c>
      <c r="B41" s="91" t="s">
        <v>188</v>
      </c>
      <c r="C41" s="81">
        <v>30749.128992977749</v>
      </c>
      <c r="D41" s="81">
        <v>38164.400000000001</v>
      </c>
      <c r="E41" s="82">
        <f t="shared" si="0"/>
        <v>7415.2710070222529</v>
      </c>
      <c r="F41" s="82">
        <v>146636.79999999999</v>
      </c>
      <c r="G41" s="82">
        <v>64501.41</v>
      </c>
      <c r="H41" s="82">
        <v>58510.5</v>
      </c>
      <c r="I41" s="82">
        <f t="shared" si="1"/>
        <v>-5990.9100000000035</v>
      </c>
      <c r="J41" s="83">
        <v>154523.14000000001</v>
      </c>
      <c r="K41" s="83">
        <v>71786.490000000005</v>
      </c>
      <c r="L41" s="83">
        <f>L37+L38</f>
        <v>80826.33</v>
      </c>
      <c r="M41" s="82">
        <f t="shared" si="2"/>
        <v>9039.8399999999965</v>
      </c>
      <c r="N41" s="83">
        <v>81792.08</v>
      </c>
      <c r="O41" s="83">
        <v>65263.85</v>
      </c>
      <c r="P41" s="83">
        <f>P37+P38</f>
        <v>85143.4</v>
      </c>
      <c r="Q41" s="83">
        <f>P41-O41</f>
        <v>19879.549999999996</v>
      </c>
    </row>
    <row r="42" spans="1:17" x14ac:dyDescent="0.25">
      <c r="A42" s="30"/>
      <c r="B42" s="91" t="s">
        <v>189</v>
      </c>
      <c r="C42" s="77"/>
      <c r="D42" s="77"/>
      <c r="E42" s="78">
        <f t="shared" si="0"/>
        <v>0</v>
      </c>
      <c r="F42" s="78"/>
      <c r="G42" s="78"/>
      <c r="H42" s="78"/>
      <c r="I42" s="78">
        <f t="shared" si="1"/>
        <v>0</v>
      </c>
      <c r="J42" s="77"/>
      <c r="K42" s="77"/>
      <c r="L42" s="77"/>
      <c r="M42" s="77"/>
      <c r="N42" s="77"/>
      <c r="O42" s="77"/>
      <c r="P42" s="77"/>
      <c r="Q42" s="77"/>
    </row>
    <row r="43" spans="1:17" x14ac:dyDescent="0.25">
      <c r="A43" s="32" t="s">
        <v>190</v>
      </c>
      <c r="B43" s="91" t="s">
        <v>191</v>
      </c>
      <c r="C43" s="77"/>
      <c r="D43" s="77"/>
      <c r="E43" s="78">
        <f t="shared" si="0"/>
        <v>0</v>
      </c>
      <c r="F43" s="78"/>
      <c r="G43" s="78"/>
      <c r="H43" s="78"/>
      <c r="I43" s="78">
        <f t="shared" si="1"/>
        <v>0</v>
      </c>
      <c r="J43" s="77"/>
      <c r="K43" s="77"/>
      <c r="L43" s="77"/>
      <c r="M43" s="77"/>
      <c r="N43" s="77"/>
      <c r="O43" s="77"/>
      <c r="P43" s="77"/>
      <c r="Q43" s="77"/>
    </row>
    <row r="44" spans="1:17" x14ac:dyDescent="0.25">
      <c r="A44" s="32" t="s">
        <v>192</v>
      </c>
      <c r="B44" s="91" t="s">
        <v>193</v>
      </c>
      <c r="C44" s="77"/>
      <c r="D44" s="77"/>
      <c r="E44" s="78">
        <f t="shared" si="0"/>
        <v>0</v>
      </c>
      <c r="F44" s="78"/>
      <c r="G44" s="78"/>
      <c r="H44" s="78"/>
      <c r="I44" s="78">
        <f t="shared" si="1"/>
        <v>0</v>
      </c>
      <c r="J44" s="77"/>
      <c r="K44" s="77"/>
      <c r="L44" s="77"/>
      <c r="M44" s="77"/>
      <c r="N44" s="77"/>
      <c r="O44" s="77"/>
      <c r="P44" s="77"/>
      <c r="Q44" s="77"/>
    </row>
    <row r="45" spans="1:17" x14ac:dyDescent="0.25">
      <c r="A45" s="32" t="s">
        <v>194</v>
      </c>
      <c r="B45" s="91" t="s">
        <v>195</v>
      </c>
      <c r="C45" s="77"/>
      <c r="D45" s="77"/>
      <c r="E45" s="78">
        <f t="shared" si="0"/>
        <v>0</v>
      </c>
      <c r="F45" s="78"/>
      <c r="G45" s="78"/>
      <c r="H45" s="78"/>
      <c r="I45" s="78">
        <f t="shared" si="1"/>
        <v>0</v>
      </c>
      <c r="J45" s="77"/>
      <c r="K45" s="77"/>
      <c r="L45" s="77"/>
      <c r="M45" s="77"/>
      <c r="N45" s="77"/>
      <c r="O45" s="77"/>
      <c r="P45" s="77"/>
      <c r="Q45" s="77"/>
    </row>
    <row r="46" spans="1:17" x14ac:dyDescent="0.25">
      <c r="A46" s="32" t="s">
        <v>196</v>
      </c>
      <c r="B46" s="91" t="s">
        <v>197</v>
      </c>
      <c r="C46" s="77"/>
      <c r="D46" s="77"/>
      <c r="E46" s="78">
        <f t="shared" si="0"/>
        <v>0</v>
      </c>
      <c r="F46" s="78"/>
      <c r="G46" s="78"/>
      <c r="H46" s="78"/>
      <c r="I46" s="78">
        <f t="shared" si="1"/>
        <v>0</v>
      </c>
      <c r="J46" s="77"/>
      <c r="K46" s="77"/>
      <c r="L46" s="77"/>
      <c r="M46" s="77"/>
      <c r="N46" s="77"/>
      <c r="O46" s="77"/>
      <c r="P46" s="77"/>
      <c r="Q46" s="77"/>
    </row>
    <row r="47" spans="1:17" x14ac:dyDescent="0.25">
      <c r="A47" s="30" t="s">
        <v>198</v>
      </c>
      <c r="B47" s="91" t="s">
        <v>199</v>
      </c>
      <c r="C47" s="77"/>
      <c r="D47" s="77"/>
      <c r="E47" s="78">
        <f t="shared" si="0"/>
        <v>0</v>
      </c>
      <c r="F47" s="78"/>
      <c r="G47" s="78"/>
      <c r="H47" s="78"/>
      <c r="I47" s="78">
        <f t="shared" si="1"/>
        <v>0</v>
      </c>
      <c r="J47" s="77"/>
      <c r="K47" s="77"/>
      <c r="L47" s="77"/>
      <c r="M47" s="77"/>
      <c r="N47" s="77"/>
      <c r="O47" s="77"/>
      <c r="P47" s="77"/>
      <c r="Q47" s="77"/>
    </row>
    <row r="48" spans="1:17" x14ac:dyDescent="0.25">
      <c r="A48" s="32" t="s">
        <v>200</v>
      </c>
      <c r="B48" s="91" t="s">
        <v>201</v>
      </c>
      <c r="C48" s="77"/>
      <c r="D48" s="77"/>
      <c r="E48" s="78">
        <f t="shared" si="0"/>
        <v>0</v>
      </c>
      <c r="F48" s="78"/>
      <c r="G48" s="78"/>
      <c r="H48" s="78"/>
      <c r="I48" s="78">
        <f t="shared" si="1"/>
        <v>0</v>
      </c>
      <c r="J48" s="77"/>
      <c r="K48" s="77"/>
      <c r="L48" s="77"/>
      <c r="M48" s="77"/>
      <c r="N48" s="77"/>
      <c r="O48" s="77"/>
      <c r="P48" s="77"/>
      <c r="Q48" s="77"/>
    </row>
    <row r="49" spans="1:17" x14ac:dyDescent="0.25">
      <c r="A49" s="32" t="s">
        <v>202</v>
      </c>
      <c r="B49" s="91" t="s">
        <v>203</v>
      </c>
      <c r="C49" s="77"/>
      <c r="D49" s="77"/>
      <c r="E49" s="78">
        <f t="shared" si="0"/>
        <v>0</v>
      </c>
      <c r="F49" s="78"/>
      <c r="G49" s="78"/>
      <c r="H49" s="78"/>
      <c r="I49" s="78">
        <f t="shared" si="1"/>
        <v>0</v>
      </c>
      <c r="J49" s="77"/>
      <c r="K49" s="77"/>
      <c r="L49" s="77"/>
      <c r="M49" s="77"/>
      <c r="N49" s="77"/>
      <c r="O49" s="77"/>
      <c r="P49" s="77"/>
      <c r="Q49" s="77"/>
    </row>
    <row r="50" spans="1:17" x14ac:dyDescent="0.25">
      <c r="A50" s="32" t="s">
        <v>204</v>
      </c>
      <c r="B50" s="91" t="s">
        <v>205</v>
      </c>
      <c r="C50" s="77"/>
      <c r="D50" s="77"/>
      <c r="E50" s="78">
        <f t="shared" si="0"/>
        <v>0</v>
      </c>
      <c r="F50" s="78"/>
      <c r="G50" s="78"/>
      <c r="H50" s="78"/>
      <c r="I50" s="78">
        <f t="shared" si="1"/>
        <v>0</v>
      </c>
      <c r="J50" s="77"/>
      <c r="K50" s="77"/>
      <c r="L50" s="77"/>
      <c r="M50" s="77"/>
      <c r="N50" s="77"/>
      <c r="O50" s="77"/>
      <c r="P50" s="77"/>
      <c r="Q50" s="77"/>
    </row>
    <row r="51" spans="1:17" x14ac:dyDescent="0.25">
      <c r="A51" s="30" t="s">
        <v>206</v>
      </c>
      <c r="B51" s="91" t="s">
        <v>207</v>
      </c>
      <c r="C51" s="77"/>
      <c r="D51" s="77"/>
      <c r="E51" s="78">
        <f t="shared" si="0"/>
        <v>0</v>
      </c>
      <c r="F51" s="78"/>
      <c r="G51" s="78"/>
      <c r="H51" s="78"/>
      <c r="I51" s="78">
        <f t="shared" si="1"/>
        <v>0</v>
      </c>
      <c r="J51" s="77"/>
      <c r="K51" s="77"/>
      <c r="L51" s="77"/>
      <c r="M51" s="77"/>
      <c r="N51" s="77"/>
      <c r="O51" s="77"/>
      <c r="P51" s="77"/>
      <c r="Q51" s="77"/>
    </row>
    <row r="52" spans="1:17" x14ac:dyDescent="0.25">
      <c r="A52" s="128"/>
      <c r="B52" s="97" t="s">
        <v>208</v>
      </c>
      <c r="C52" s="81">
        <v>187.37187392541315</v>
      </c>
      <c r="D52" s="81">
        <v>35</v>
      </c>
      <c r="E52" s="82">
        <f t="shared" si="0"/>
        <v>-152.37187392541315</v>
      </c>
      <c r="F52" s="82">
        <v>14240</v>
      </c>
      <c r="G52" s="82">
        <v>231.15</v>
      </c>
      <c r="H52" s="82">
        <v>119.6</v>
      </c>
      <c r="I52" s="82">
        <f t="shared" si="1"/>
        <v>-111.55000000000001</v>
      </c>
      <c r="J52" s="83">
        <v>28522</v>
      </c>
      <c r="K52" s="83">
        <v>7760.04</v>
      </c>
      <c r="L52" s="83">
        <v>770.29</v>
      </c>
      <c r="M52" s="82">
        <f t="shared" ref="M52:M53" si="8">L52-K52</f>
        <v>-6989.75</v>
      </c>
      <c r="N52" s="83">
        <v>8274.01</v>
      </c>
      <c r="O52" s="83">
        <v>8587.8799999999992</v>
      </c>
      <c r="P52" s="83">
        <v>0</v>
      </c>
      <c r="Q52" s="83">
        <f t="shared" ref="Q52:Q53" si="9">P52-O52</f>
        <v>-8587.8799999999992</v>
      </c>
    </row>
    <row r="53" spans="1:17" x14ac:dyDescent="0.25">
      <c r="A53" s="98"/>
      <c r="B53" s="96" t="s">
        <v>209</v>
      </c>
      <c r="C53" s="81">
        <v>30936.500866903163</v>
      </c>
      <c r="D53" s="81">
        <f>D41+D52</f>
        <v>38199.4</v>
      </c>
      <c r="E53" s="82">
        <f t="shared" si="0"/>
        <v>7262.8991330968383</v>
      </c>
      <c r="F53" s="82">
        <v>160876.79999999999</v>
      </c>
      <c r="G53" s="82">
        <v>64732.56</v>
      </c>
      <c r="H53" s="82">
        <v>58630.1</v>
      </c>
      <c r="I53" s="82">
        <f t="shared" si="1"/>
        <v>-6102.4599999999991</v>
      </c>
      <c r="J53" s="83">
        <v>183045.14</v>
      </c>
      <c r="K53" s="83">
        <v>79546.53</v>
      </c>
      <c r="L53" s="83">
        <f>L41+L52</f>
        <v>81596.62</v>
      </c>
      <c r="M53" s="82">
        <f t="shared" si="8"/>
        <v>2050.0899999999965</v>
      </c>
      <c r="N53" s="83">
        <v>90066.09</v>
      </c>
      <c r="O53" s="83">
        <v>73851.73</v>
      </c>
      <c r="P53" s="83">
        <v>85143.4</v>
      </c>
      <c r="Q53" s="83">
        <f t="shared" si="9"/>
        <v>11291.669999999998</v>
      </c>
    </row>
    <row r="54" spans="1:17" ht="15.6" x14ac:dyDescent="0.3">
      <c r="A54" s="45" t="s">
        <v>0</v>
      </c>
      <c r="B54" s="45"/>
      <c r="C54" s="45" t="s">
        <v>285</v>
      </c>
      <c r="D54" s="45"/>
      <c r="E54" s="85"/>
    </row>
    <row r="57" spans="1:17" ht="15.6" x14ac:dyDescent="0.3">
      <c r="A57" s="45"/>
      <c r="B57" s="45"/>
      <c r="C57" s="45"/>
      <c r="D57" s="45"/>
    </row>
  </sheetData>
  <mergeCells count="12">
    <mergeCell ref="Q6:Q7"/>
    <mergeCell ref="P6:P7"/>
    <mergeCell ref="A3:C3"/>
    <mergeCell ref="A6:A7"/>
    <mergeCell ref="B6:B7"/>
    <mergeCell ref="F6:G6"/>
    <mergeCell ref="N6:O6"/>
    <mergeCell ref="M6:M7"/>
    <mergeCell ref="I6:I7"/>
    <mergeCell ref="H6:H7"/>
    <mergeCell ref="J6:K6"/>
    <mergeCell ref="L6:L7"/>
  </mergeCells>
  <pageMargins left="0.70866141732283472" right="0.70866141732283472" top="0.19685039370078741" bottom="0.15748031496062992" header="0.31496062992125984" footer="0.31496062992125984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abSelected="1" topLeftCell="A136" workbookViewId="0">
      <selection activeCell="D14" sqref="D14:D18"/>
    </sheetView>
  </sheetViews>
  <sheetFormatPr defaultColWidth="9.21875" defaultRowHeight="13.2" x14ac:dyDescent="0.25"/>
  <cols>
    <col min="1" max="1" width="8.44140625" style="4" customWidth="1"/>
    <col min="2" max="2" width="40.5546875" style="4" customWidth="1"/>
    <col min="3" max="3" width="13.6640625" style="4" customWidth="1"/>
    <col min="4" max="4" width="22.21875" style="4" customWidth="1"/>
    <col min="5" max="5" width="14.88671875" style="4" customWidth="1"/>
    <col min="6" max="253" width="9.21875" style="4"/>
    <col min="254" max="254" width="6.44140625" style="4" customWidth="1"/>
    <col min="255" max="255" width="47.77734375" style="4" customWidth="1"/>
    <col min="256" max="256" width="12.77734375" style="4" customWidth="1"/>
    <col min="257" max="257" width="14.44140625" style="4" customWidth="1"/>
    <col min="258" max="258" width="12.21875" style="4" customWidth="1"/>
    <col min="259" max="260" width="11.77734375" style="4" customWidth="1"/>
    <col min="261" max="509" width="9.21875" style="4"/>
    <col min="510" max="510" width="6.44140625" style="4" customWidth="1"/>
    <col min="511" max="511" width="47.77734375" style="4" customWidth="1"/>
    <col min="512" max="512" width="12.77734375" style="4" customWidth="1"/>
    <col min="513" max="513" width="14.44140625" style="4" customWidth="1"/>
    <col min="514" max="514" width="12.21875" style="4" customWidth="1"/>
    <col min="515" max="516" width="11.77734375" style="4" customWidth="1"/>
    <col min="517" max="765" width="9.21875" style="4"/>
    <col min="766" max="766" width="6.44140625" style="4" customWidth="1"/>
    <col min="767" max="767" width="47.77734375" style="4" customWidth="1"/>
    <col min="768" max="768" width="12.77734375" style="4" customWidth="1"/>
    <col min="769" max="769" width="14.44140625" style="4" customWidth="1"/>
    <col min="770" max="770" width="12.21875" style="4" customWidth="1"/>
    <col min="771" max="772" width="11.77734375" style="4" customWidth="1"/>
    <col min="773" max="1021" width="9.21875" style="4"/>
    <col min="1022" max="1022" width="6.44140625" style="4" customWidth="1"/>
    <col min="1023" max="1023" width="47.77734375" style="4" customWidth="1"/>
    <col min="1024" max="1024" width="12.77734375" style="4" customWidth="1"/>
    <col min="1025" max="1025" width="14.44140625" style="4" customWidth="1"/>
    <col min="1026" max="1026" width="12.21875" style="4" customWidth="1"/>
    <col min="1027" max="1028" width="11.77734375" style="4" customWidth="1"/>
    <col min="1029" max="1277" width="9.21875" style="4"/>
    <col min="1278" max="1278" width="6.44140625" style="4" customWidth="1"/>
    <col min="1279" max="1279" width="47.77734375" style="4" customWidth="1"/>
    <col min="1280" max="1280" width="12.77734375" style="4" customWidth="1"/>
    <col min="1281" max="1281" width="14.44140625" style="4" customWidth="1"/>
    <col min="1282" max="1282" width="12.21875" style="4" customWidth="1"/>
    <col min="1283" max="1284" width="11.77734375" style="4" customWidth="1"/>
    <col min="1285" max="1533" width="9.21875" style="4"/>
    <col min="1534" max="1534" width="6.44140625" style="4" customWidth="1"/>
    <col min="1535" max="1535" width="47.77734375" style="4" customWidth="1"/>
    <col min="1536" max="1536" width="12.77734375" style="4" customWidth="1"/>
    <col min="1537" max="1537" width="14.44140625" style="4" customWidth="1"/>
    <col min="1538" max="1538" width="12.21875" style="4" customWidth="1"/>
    <col min="1539" max="1540" width="11.77734375" style="4" customWidth="1"/>
    <col min="1541" max="1789" width="9.21875" style="4"/>
    <col min="1790" max="1790" width="6.44140625" style="4" customWidth="1"/>
    <col min="1791" max="1791" width="47.77734375" style="4" customWidth="1"/>
    <col min="1792" max="1792" width="12.77734375" style="4" customWidth="1"/>
    <col min="1793" max="1793" width="14.44140625" style="4" customWidth="1"/>
    <col min="1794" max="1794" width="12.21875" style="4" customWidth="1"/>
    <col min="1795" max="1796" width="11.77734375" style="4" customWidth="1"/>
    <col min="1797" max="2045" width="9.21875" style="4"/>
    <col min="2046" max="2046" width="6.44140625" style="4" customWidth="1"/>
    <col min="2047" max="2047" width="47.77734375" style="4" customWidth="1"/>
    <col min="2048" max="2048" width="12.77734375" style="4" customWidth="1"/>
    <col min="2049" max="2049" width="14.44140625" style="4" customWidth="1"/>
    <col min="2050" max="2050" width="12.21875" style="4" customWidth="1"/>
    <col min="2051" max="2052" width="11.77734375" style="4" customWidth="1"/>
    <col min="2053" max="2301" width="9.21875" style="4"/>
    <col min="2302" max="2302" width="6.44140625" style="4" customWidth="1"/>
    <col min="2303" max="2303" width="47.77734375" style="4" customWidth="1"/>
    <col min="2304" max="2304" width="12.77734375" style="4" customWidth="1"/>
    <col min="2305" max="2305" width="14.44140625" style="4" customWidth="1"/>
    <col min="2306" max="2306" width="12.21875" style="4" customWidth="1"/>
    <col min="2307" max="2308" width="11.77734375" style="4" customWidth="1"/>
    <col min="2309" max="2557" width="9.21875" style="4"/>
    <col min="2558" max="2558" width="6.44140625" style="4" customWidth="1"/>
    <col min="2559" max="2559" width="47.77734375" style="4" customWidth="1"/>
    <col min="2560" max="2560" width="12.77734375" style="4" customWidth="1"/>
    <col min="2561" max="2561" width="14.44140625" style="4" customWidth="1"/>
    <col min="2562" max="2562" width="12.21875" style="4" customWidth="1"/>
    <col min="2563" max="2564" width="11.77734375" style="4" customWidth="1"/>
    <col min="2565" max="2813" width="9.21875" style="4"/>
    <col min="2814" max="2814" width="6.44140625" style="4" customWidth="1"/>
    <col min="2815" max="2815" width="47.77734375" style="4" customWidth="1"/>
    <col min="2816" max="2816" width="12.77734375" style="4" customWidth="1"/>
    <col min="2817" max="2817" width="14.44140625" style="4" customWidth="1"/>
    <col min="2818" max="2818" width="12.21875" style="4" customWidth="1"/>
    <col min="2819" max="2820" width="11.77734375" style="4" customWidth="1"/>
    <col min="2821" max="3069" width="9.21875" style="4"/>
    <col min="3070" max="3070" width="6.44140625" style="4" customWidth="1"/>
    <col min="3071" max="3071" width="47.77734375" style="4" customWidth="1"/>
    <col min="3072" max="3072" width="12.77734375" style="4" customWidth="1"/>
    <col min="3073" max="3073" width="14.44140625" style="4" customWidth="1"/>
    <col min="3074" max="3074" width="12.21875" style="4" customWidth="1"/>
    <col min="3075" max="3076" width="11.77734375" style="4" customWidth="1"/>
    <col min="3077" max="3325" width="9.21875" style="4"/>
    <col min="3326" max="3326" width="6.44140625" style="4" customWidth="1"/>
    <col min="3327" max="3327" width="47.77734375" style="4" customWidth="1"/>
    <col min="3328" max="3328" width="12.77734375" style="4" customWidth="1"/>
    <col min="3329" max="3329" width="14.44140625" style="4" customWidth="1"/>
    <col min="3330" max="3330" width="12.21875" style="4" customWidth="1"/>
    <col min="3331" max="3332" width="11.77734375" style="4" customWidth="1"/>
    <col min="3333" max="3581" width="9.21875" style="4"/>
    <col min="3582" max="3582" width="6.44140625" style="4" customWidth="1"/>
    <col min="3583" max="3583" width="47.77734375" style="4" customWidth="1"/>
    <col min="3584" max="3584" width="12.77734375" style="4" customWidth="1"/>
    <col min="3585" max="3585" width="14.44140625" style="4" customWidth="1"/>
    <col min="3586" max="3586" width="12.21875" style="4" customWidth="1"/>
    <col min="3587" max="3588" width="11.77734375" style="4" customWidth="1"/>
    <col min="3589" max="3837" width="9.21875" style="4"/>
    <col min="3838" max="3838" width="6.44140625" style="4" customWidth="1"/>
    <col min="3839" max="3839" width="47.77734375" style="4" customWidth="1"/>
    <col min="3840" max="3840" width="12.77734375" style="4" customWidth="1"/>
    <col min="3841" max="3841" width="14.44140625" style="4" customWidth="1"/>
    <col min="3842" max="3842" width="12.21875" style="4" customWidth="1"/>
    <col min="3843" max="3844" width="11.77734375" style="4" customWidth="1"/>
    <col min="3845" max="4093" width="9.21875" style="4"/>
    <col min="4094" max="4094" width="6.44140625" style="4" customWidth="1"/>
    <col min="4095" max="4095" width="47.77734375" style="4" customWidth="1"/>
    <col min="4096" max="4096" width="12.77734375" style="4" customWidth="1"/>
    <col min="4097" max="4097" width="14.44140625" style="4" customWidth="1"/>
    <col min="4098" max="4098" width="12.21875" style="4" customWidth="1"/>
    <col min="4099" max="4100" width="11.77734375" style="4" customWidth="1"/>
    <col min="4101" max="4349" width="9.21875" style="4"/>
    <col min="4350" max="4350" width="6.44140625" style="4" customWidth="1"/>
    <col min="4351" max="4351" width="47.77734375" style="4" customWidth="1"/>
    <col min="4352" max="4352" width="12.77734375" style="4" customWidth="1"/>
    <col min="4353" max="4353" width="14.44140625" style="4" customWidth="1"/>
    <col min="4354" max="4354" width="12.21875" style="4" customWidth="1"/>
    <col min="4355" max="4356" width="11.77734375" style="4" customWidth="1"/>
    <col min="4357" max="4605" width="9.21875" style="4"/>
    <col min="4606" max="4606" width="6.44140625" style="4" customWidth="1"/>
    <col min="4607" max="4607" width="47.77734375" style="4" customWidth="1"/>
    <col min="4608" max="4608" width="12.77734375" style="4" customWidth="1"/>
    <col min="4609" max="4609" width="14.44140625" style="4" customWidth="1"/>
    <col min="4610" max="4610" width="12.21875" style="4" customWidth="1"/>
    <col min="4611" max="4612" width="11.77734375" style="4" customWidth="1"/>
    <col min="4613" max="4861" width="9.21875" style="4"/>
    <col min="4862" max="4862" width="6.44140625" style="4" customWidth="1"/>
    <col min="4863" max="4863" width="47.77734375" style="4" customWidth="1"/>
    <col min="4864" max="4864" width="12.77734375" style="4" customWidth="1"/>
    <col min="4865" max="4865" width="14.44140625" style="4" customWidth="1"/>
    <col min="4866" max="4866" width="12.21875" style="4" customWidth="1"/>
    <col min="4867" max="4868" width="11.77734375" style="4" customWidth="1"/>
    <col min="4869" max="5117" width="9.21875" style="4"/>
    <col min="5118" max="5118" width="6.44140625" style="4" customWidth="1"/>
    <col min="5119" max="5119" width="47.77734375" style="4" customWidth="1"/>
    <col min="5120" max="5120" width="12.77734375" style="4" customWidth="1"/>
    <col min="5121" max="5121" width="14.44140625" style="4" customWidth="1"/>
    <col min="5122" max="5122" width="12.21875" style="4" customWidth="1"/>
    <col min="5123" max="5124" width="11.77734375" style="4" customWidth="1"/>
    <col min="5125" max="5373" width="9.21875" style="4"/>
    <col min="5374" max="5374" width="6.44140625" style="4" customWidth="1"/>
    <col min="5375" max="5375" width="47.77734375" style="4" customWidth="1"/>
    <col min="5376" max="5376" width="12.77734375" style="4" customWidth="1"/>
    <col min="5377" max="5377" width="14.44140625" style="4" customWidth="1"/>
    <col min="5378" max="5378" width="12.21875" style="4" customWidth="1"/>
    <col min="5379" max="5380" width="11.77734375" style="4" customWidth="1"/>
    <col min="5381" max="5629" width="9.21875" style="4"/>
    <col min="5630" max="5630" width="6.44140625" style="4" customWidth="1"/>
    <col min="5631" max="5631" width="47.77734375" style="4" customWidth="1"/>
    <col min="5632" max="5632" width="12.77734375" style="4" customWidth="1"/>
    <col min="5633" max="5633" width="14.44140625" style="4" customWidth="1"/>
    <col min="5634" max="5634" width="12.21875" style="4" customWidth="1"/>
    <col min="5635" max="5636" width="11.77734375" style="4" customWidth="1"/>
    <col min="5637" max="5885" width="9.21875" style="4"/>
    <col min="5886" max="5886" width="6.44140625" style="4" customWidth="1"/>
    <col min="5887" max="5887" width="47.77734375" style="4" customWidth="1"/>
    <col min="5888" max="5888" width="12.77734375" style="4" customWidth="1"/>
    <col min="5889" max="5889" width="14.44140625" style="4" customWidth="1"/>
    <col min="5890" max="5890" width="12.21875" style="4" customWidth="1"/>
    <col min="5891" max="5892" width="11.77734375" style="4" customWidth="1"/>
    <col min="5893" max="6141" width="9.21875" style="4"/>
    <col min="6142" max="6142" width="6.44140625" style="4" customWidth="1"/>
    <col min="6143" max="6143" width="47.77734375" style="4" customWidth="1"/>
    <col min="6144" max="6144" width="12.77734375" style="4" customWidth="1"/>
    <col min="6145" max="6145" width="14.44140625" style="4" customWidth="1"/>
    <col min="6146" max="6146" width="12.21875" style="4" customWidth="1"/>
    <col min="6147" max="6148" width="11.77734375" style="4" customWidth="1"/>
    <col min="6149" max="6397" width="9.21875" style="4"/>
    <col min="6398" max="6398" width="6.44140625" style="4" customWidth="1"/>
    <col min="6399" max="6399" width="47.77734375" style="4" customWidth="1"/>
    <col min="6400" max="6400" width="12.77734375" style="4" customWidth="1"/>
    <col min="6401" max="6401" width="14.44140625" style="4" customWidth="1"/>
    <col min="6402" max="6402" width="12.21875" style="4" customWidth="1"/>
    <col min="6403" max="6404" width="11.77734375" style="4" customWidth="1"/>
    <col min="6405" max="6653" width="9.21875" style="4"/>
    <col min="6654" max="6654" width="6.44140625" style="4" customWidth="1"/>
    <col min="6655" max="6655" width="47.77734375" style="4" customWidth="1"/>
    <col min="6656" max="6656" width="12.77734375" style="4" customWidth="1"/>
    <col min="6657" max="6657" width="14.44140625" style="4" customWidth="1"/>
    <col min="6658" max="6658" width="12.21875" style="4" customWidth="1"/>
    <col min="6659" max="6660" width="11.77734375" style="4" customWidth="1"/>
    <col min="6661" max="6909" width="9.21875" style="4"/>
    <col min="6910" max="6910" width="6.44140625" style="4" customWidth="1"/>
    <col min="6911" max="6911" width="47.77734375" style="4" customWidth="1"/>
    <col min="6912" max="6912" width="12.77734375" style="4" customWidth="1"/>
    <col min="6913" max="6913" width="14.44140625" style="4" customWidth="1"/>
    <col min="6914" max="6914" width="12.21875" style="4" customWidth="1"/>
    <col min="6915" max="6916" width="11.77734375" style="4" customWidth="1"/>
    <col min="6917" max="7165" width="9.21875" style="4"/>
    <col min="7166" max="7166" width="6.44140625" style="4" customWidth="1"/>
    <col min="7167" max="7167" width="47.77734375" style="4" customWidth="1"/>
    <col min="7168" max="7168" width="12.77734375" style="4" customWidth="1"/>
    <col min="7169" max="7169" width="14.44140625" style="4" customWidth="1"/>
    <col min="7170" max="7170" width="12.21875" style="4" customWidth="1"/>
    <col min="7171" max="7172" width="11.77734375" style="4" customWidth="1"/>
    <col min="7173" max="7421" width="9.21875" style="4"/>
    <col min="7422" max="7422" width="6.44140625" style="4" customWidth="1"/>
    <col min="7423" max="7423" width="47.77734375" style="4" customWidth="1"/>
    <col min="7424" max="7424" width="12.77734375" style="4" customWidth="1"/>
    <col min="7425" max="7425" width="14.44140625" style="4" customWidth="1"/>
    <col min="7426" max="7426" width="12.21875" style="4" customWidth="1"/>
    <col min="7427" max="7428" width="11.77734375" style="4" customWidth="1"/>
    <col min="7429" max="7677" width="9.21875" style="4"/>
    <col min="7678" max="7678" width="6.44140625" style="4" customWidth="1"/>
    <col min="7679" max="7679" width="47.77734375" style="4" customWidth="1"/>
    <col min="7680" max="7680" width="12.77734375" style="4" customWidth="1"/>
    <col min="7681" max="7681" width="14.44140625" style="4" customWidth="1"/>
    <col min="7682" max="7682" width="12.21875" style="4" customWidth="1"/>
    <col min="7683" max="7684" width="11.77734375" style="4" customWidth="1"/>
    <col min="7685" max="7933" width="9.21875" style="4"/>
    <col min="7934" max="7934" width="6.44140625" style="4" customWidth="1"/>
    <col min="7935" max="7935" width="47.77734375" style="4" customWidth="1"/>
    <col min="7936" max="7936" width="12.77734375" style="4" customWidth="1"/>
    <col min="7937" max="7937" width="14.44140625" style="4" customWidth="1"/>
    <col min="7938" max="7938" width="12.21875" style="4" customWidth="1"/>
    <col min="7939" max="7940" width="11.77734375" style="4" customWidth="1"/>
    <col min="7941" max="8189" width="9.21875" style="4"/>
    <col min="8190" max="8190" width="6.44140625" style="4" customWidth="1"/>
    <col min="8191" max="8191" width="47.77734375" style="4" customWidth="1"/>
    <col min="8192" max="8192" width="12.77734375" style="4" customWidth="1"/>
    <col min="8193" max="8193" width="14.44140625" style="4" customWidth="1"/>
    <col min="8194" max="8194" width="12.21875" style="4" customWidth="1"/>
    <col min="8195" max="8196" width="11.77734375" style="4" customWidth="1"/>
    <col min="8197" max="8445" width="9.21875" style="4"/>
    <col min="8446" max="8446" width="6.44140625" style="4" customWidth="1"/>
    <col min="8447" max="8447" width="47.77734375" style="4" customWidth="1"/>
    <col min="8448" max="8448" width="12.77734375" style="4" customWidth="1"/>
    <col min="8449" max="8449" width="14.44140625" style="4" customWidth="1"/>
    <col min="8450" max="8450" width="12.21875" style="4" customWidth="1"/>
    <col min="8451" max="8452" width="11.77734375" style="4" customWidth="1"/>
    <col min="8453" max="8701" width="9.21875" style="4"/>
    <col min="8702" max="8702" width="6.44140625" style="4" customWidth="1"/>
    <col min="8703" max="8703" width="47.77734375" style="4" customWidth="1"/>
    <col min="8704" max="8704" width="12.77734375" style="4" customWidth="1"/>
    <col min="8705" max="8705" width="14.44140625" style="4" customWidth="1"/>
    <col min="8706" max="8706" width="12.21875" style="4" customWidth="1"/>
    <col min="8707" max="8708" width="11.77734375" style="4" customWidth="1"/>
    <col min="8709" max="8957" width="9.21875" style="4"/>
    <col min="8958" max="8958" width="6.44140625" style="4" customWidth="1"/>
    <col min="8959" max="8959" width="47.77734375" style="4" customWidth="1"/>
    <col min="8960" max="8960" width="12.77734375" style="4" customWidth="1"/>
    <col min="8961" max="8961" width="14.44140625" style="4" customWidth="1"/>
    <col min="8962" max="8962" width="12.21875" style="4" customWidth="1"/>
    <col min="8963" max="8964" width="11.77734375" style="4" customWidth="1"/>
    <col min="8965" max="9213" width="9.21875" style="4"/>
    <col min="9214" max="9214" width="6.44140625" style="4" customWidth="1"/>
    <col min="9215" max="9215" width="47.77734375" style="4" customWidth="1"/>
    <col min="9216" max="9216" width="12.77734375" style="4" customWidth="1"/>
    <col min="9217" max="9217" width="14.44140625" style="4" customWidth="1"/>
    <col min="9218" max="9218" width="12.21875" style="4" customWidth="1"/>
    <col min="9219" max="9220" width="11.77734375" style="4" customWidth="1"/>
    <col min="9221" max="9469" width="9.21875" style="4"/>
    <col min="9470" max="9470" width="6.44140625" style="4" customWidth="1"/>
    <col min="9471" max="9471" width="47.77734375" style="4" customWidth="1"/>
    <col min="9472" max="9472" width="12.77734375" style="4" customWidth="1"/>
    <col min="9473" max="9473" width="14.44140625" style="4" customWidth="1"/>
    <col min="9474" max="9474" width="12.21875" style="4" customWidth="1"/>
    <col min="9475" max="9476" width="11.77734375" style="4" customWidth="1"/>
    <col min="9477" max="9725" width="9.21875" style="4"/>
    <col min="9726" max="9726" width="6.44140625" style="4" customWidth="1"/>
    <col min="9727" max="9727" width="47.77734375" style="4" customWidth="1"/>
    <col min="9728" max="9728" width="12.77734375" style="4" customWidth="1"/>
    <col min="9729" max="9729" width="14.44140625" style="4" customWidth="1"/>
    <col min="9730" max="9730" width="12.21875" style="4" customWidth="1"/>
    <col min="9731" max="9732" width="11.77734375" style="4" customWidth="1"/>
    <col min="9733" max="9981" width="9.21875" style="4"/>
    <col min="9982" max="9982" width="6.44140625" style="4" customWidth="1"/>
    <col min="9983" max="9983" width="47.77734375" style="4" customWidth="1"/>
    <col min="9984" max="9984" width="12.77734375" style="4" customWidth="1"/>
    <col min="9985" max="9985" width="14.44140625" style="4" customWidth="1"/>
    <col min="9986" max="9986" width="12.21875" style="4" customWidth="1"/>
    <col min="9987" max="9988" width="11.77734375" style="4" customWidth="1"/>
    <col min="9989" max="10237" width="9.21875" style="4"/>
    <col min="10238" max="10238" width="6.44140625" style="4" customWidth="1"/>
    <col min="10239" max="10239" width="47.77734375" style="4" customWidth="1"/>
    <col min="10240" max="10240" width="12.77734375" style="4" customWidth="1"/>
    <col min="10241" max="10241" width="14.44140625" style="4" customWidth="1"/>
    <col min="10242" max="10242" width="12.21875" style="4" customWidth="1"/>
    <col min="10243" max="10244" width="11.77734375" style="4" customWidth="1"/>
    <col min="10245" max="10493" width="9.21875" style="4"/>
    <col min="10494" max="10494" width="6.44140625" style="4" customWidth="1"/>
    <col min="10495" max="10495" width="47.77734375" style="4" customWidth="1"/>
    <col min="10496" max="10496" width="12.77734375" style="4" customWidth="1"/>
    <col min="10497" max="10497" width="14.44140625" style="4" customWidth="1"/>
    <col min="10498" max="10498" width="12.21875" style="4" customWidth="1"/>
    <col min="10499" max="10500" width="11.77734375" style="4" customWidth="1"/>
    <col min="10501" max="10749" width="9.21875" style="4"/>
    <col min="10750" max="10750" width="6.44140625" style="4" customWidth="1"/>
    <col min="10751" max="10751" width="47.77734375" style="4" customWidth="1"/>
    <col min="10752" max="10752" width="12.77734375" style="4" customWidth="1"/>
    <col min="10753" max="10753" width="14.44140625" style="4" customWidth="1"/>
    <col min="10754" max="10754" width="12.21875" style="4" customWidth="1"/>
    <col min="10755" max="10756" width="11.77734375" style="4" customWidth="1"/>
    <col min="10757" max="11005" width="9.21875" style="4"/>
    <col min="11006" max="11006" width="6.44140625" style="4" customWidth="1"/>
    <col min="11007" max="11007" width="47.77734375" style="4" customWidth="1"/>
    <col min="11008" max="11008" width="12.77734375" style="4" customWidth="1"/>
    <col min="11009" max="11009" width="14.44140625" style="4" customWidth="1"/>
    <col min="11010" max="11010" width="12.21875" style="4" customWidth="1"/>
    <col min="11011" max="11012" width="11.77734375" style="4" customWidth="1"/>
    <col min="11013" max="11261" width="9.21875" style="4"/>
    <col min="11262" max="11262" width="6.44140625" style="4" customWidth="1"/>
    <col min="11263" max="11263" width="47.77734375" style="4" customWidth="1"/>
    <col min="11264" max="11264" width="12.77734375" style="4" customWidth="1"/>
    <col min="11265" max="11265" width="14.44140625" style="4" customWidth="1"/>
    <col min="11266" max="11266" width="12.21875" style="4" customWidth="1"/>
    <col min="11267" max="11268" width="11.77734375" style="4" customWidth="1"/>
    <col min="11269" max="11517" width="9.21875" style="4"/>
    <col min="11518" max="11518" width="6.44140625" style="4" customWidth="1"/>
    <col min="11519" max="11519" width="47.77734375" style="4" customWidth="1"/>
    <col min="11520" max="11520" width="12.77734375" style="4" customWidth="1"/>
    <col min="11521" max="11521" width="14.44140625" style="4" customWidth="1"/>
    <col min="11522" max="11522" width="12.21875" style="4" customWidth="1"/>
    <col min="11523" max="11524" width="11.77734375" style="4" customWidth="1"/>
    <col min="11525" max="11773" width="9.21875" style="4"/>
    <col min="11774" max="11774" width="6.44140625" style="4" customWidth="1"/>
    <col min="11775" max="11775" width="47.77734375" style="4" customWidth="1"/>
    <col min="11776" max="11776" width="12.77734375" style="4" customWidth="1"/>
    <col min="11777" max="11777" width="14.44140625" style="4" customWidth="1"/>
    <col min="11778" max="11778" width="12.21875" style="4" customWidth="1"/>
    <col min="11779" max="11780" width="11.77734375" style="4" customWidth="1"/>
    <col min="11781" max="12029" width="9.21875" style="4"/>
    <col min="12030" max="12030" width="6.44140625" style="4" customWidth="1"/>
    <col min="12031" max="12031" width="47.77734375" style="4" customWidth="1"/>
    <col min="12032" max="12032" width="12.77734375" style="4" customWidth="1"/>
    <col min="12033" max="12033" width="14.44140625" style="4" customWidth="1"/>
    <col min="12034" max="12034" width="12.21875" style="4" customWidth="1"/>
    <col min="12035" max="12036" width="11.77734375" style="4" customWidth="1"/>
    <col min="12037" max="12285" width="9.21875" style="4"/>
    <col min="12286" max="12286" width="6.44140625" style="4" customWidth="1"/>
    <col min="12287" max="12287" width="47.77734375" style="4" customWidth="1"/>
    <col min="12288" max="12288" width="12.77734375" style="4" customWidth="1"/>
    <col min="12289" max="12289" width="14.44140625" style="4" customWidth="1"/>
    <col min="12290" max="12290" width="12.21875" style="4" customWidth="1"/>
    <col min="12291" max="12292" width="11.77734375" style="4" customWidth="1"/>
    <col min="12293" max="12541" width="9.21875" style="4"/>
    <col min="12542" max="12542" width="6.44140625" style="4" customWidth="1"/>
    <col min="12543" max="12543" width="47.77734375" style="4" customWidth="1"/>
    <col min="12544" max="12544" width="12.77734375" style="4" customWidth="1"/>
    <col min="12545" max="12545" width="14.44140625" style="4" customWidth="1"/>
    <col min="12546" max="12546" width="12.21875" style="4" customWidth="1"/>
    <col min="12547" max="12548" width="11.77734375" style="4" customWidth="1"/>
    <col min="12549" max="12797" width="9.21875" style="4"/>
    <col min="12798" max="12798" width="6.44140625" style="4" customWidth="1"/>
    <col min="12799" max="12799" width="47.77734375" style="4" customWidth="1"/>
    <col min="12800" max="12800" width="12.77734375" style="4" customWidth="1"/>
    <col min="12801" max="12801" width="14.44140625" style="4" customWidth="1"/>
    <col min="12802" max="12802" width="12.21875" style="4" customWidth="1"/>
    <col min="12803" max="12804" width="11.77734375" style="4" customWidth="1"/>
    <col min="12805" max="13053" width="9.21875" style="4"/>
    <col min="13054" max="13054" width="6.44140625" style="4" customWidth="1"/>
    <col min="13055" max="13055" width="47.77734375" style="4" customWidth="1"/>
    <col min="13056" max="13056" width="12.77734375" style="4" customWidth="1"/>
    <col min="13057" max="13057" width="14.44140625" style="4" customWidth="1"/>
    <col min="13058" max="13058" width="12.21875" style="4" customWidth="1"/>
    <col min="13059" max="13060" width="11.77734375" style="4" customWidth="1"/>
    <col min="13061" max="13309" width="9.21875" style="4"/>
    <col min="13310" max="13310" width="6.44140625" style="4" customWidth="1"/>
    <col min="13311" max="13311" width="47.77734375" style="4" customWidth="1"/>
    <col min="13312" max="13312" width="12.77734375" style="4" customWidth="1"/>
    <col min="13313" max="13313" width="14.44140625" style="4" customWidth="1"/>
    <col min="13314" max="13314" width="12.21875" style="4" customWidth="1"/>
    <col min="13315" max="13316" width="11.77734375" style="4" customWidth="1"/>
    <col min="13317" max="13565" width="9.21875" style="4"/>
    <col min="13566" max="13566" width="6.44140625" style="4" customWidth="1"/>
    <col min="13567" max="13567" width="47.77734375" style="4" customWidth="1"/>
    <col min="13568" max="13568" width="12.77734375" style="4" customWidth="1"/>
    <col min="13569" max="13569" width="14.44140625" style="4" customWidth="1"/>
    <col min="13570" max="13570" width="12.21875" style="4" customWidth="1"/>
    <col min="13571" max="13572" width="11.77734375" style="4" customWidth="1"/>
    <col min="13573" max="13821" width="9.21875" style="4"/>
    <col min="13822" max="13822" width="6.44140625" style="4" customWidth="1"/>
    <col min="13823" max="13823" width="47.77734375" style="4" customWidth="1"/>
    <col min="13824" max="13824" width="12.77734375" style="4" customWidth="1"/>
    <col min="13825" max="13825" width="14.44140625" style="4" customWidth="1"/>
    <col min="13826" max="13826" width="12.21875" style="4" customWidth="1"/>
    <col min="13827" max="13828" width="11.77734375" style="4" customWidth="1"/>
    <col min="13829" max="14077" width="9.21875" style="4"/>
    <col min="14078" max="14078" width="6.44140625" style="4" customWidth="1"/>
    <col min="14079" max="14079" width="47.77734375" style="4" customWidth="1"/>
    <col min="14080" max="14080" width="12.77734375" style="4" customWidth="1"/>
    <col min="14081" max="14081" width="14.44140625" style="4" customWidth="1"/>
    <col min="14082" max="14082" width="12.21875" style="4" customWidth="1"/>
    <col min="14083" max="14084" width="11.77734375" style="4" customWidth="1"/>
    <col min="14085" max="14333" width="9.21875" style="4"/>
    <col min="14334" max="14334" width="6.44140625" style="4" customWidth="1"/>
    <col min="14335" max="14335" width="47.77734375" style="4" customWidth="1"/>
    <col min="14336" max="14336" width="12.77734375" style="4" customWidth="1"/>
    <col min="14337" max="14337" width="14.44140625" style="4" customWidth="1"/>
    <col min="14338" max="14338" width="12.21875" style="4" customWidth="1"/>
    <col min="14339" max="14340" width="11.77734375" style="4" customWidth="1"/>
    <col min="14341" max="14589" width="9.21875" style="4"/>
    <col min="14590" max="14590" width="6.44140625" style="4" customWidth="1"/>
    <col min="14591" max="14591" width="47.77734375" style="4" customWidth="1"/>
    <col min="14592" max="14592" width="12.77734375" style="4" customWidth="1"/>
    <col min="14593" max="14593" width="14.44140625" style="4" customWidth="1"/>
    <col min="14594" max="14594" width="12.21875" style="4" customWidth="1"/>
    <col min="14595" max="14596" width="11.77734375" style="4" customWidth="1"/>
    <col min="14597" max="14845" width="9.21875" style="4"/>
    <col min="14846" max="14846" width="6.44140625" style="4" customWidth="1"/>
    <col min="14847" max="14847" width="47.77734375" style="4" customWidth="1"/>
    <col min="14848" max="14848" width="12.77734375" style="4" customWidth="1"/>
    <col min="14849" max="14849" width="14.44140625" style="4" customWidth="1"/>
    <col min="14850" max="14850" width="12.21875" style="4" customWidth="1"/>
    <col min="14851" max="14852" width="11.77734375" style="4" customWidth="1"/>
    <col min="14853" max="15101" width="9.21875" style="4"/>
    <col min="15102" max="15102" width="6.44140625" style="4" customWidth="1"/>
    <col min="15103" max="15103" width="47.77734375" style="4" customWidth="1"/>
    <col min="15104" max="15104" width="12.77734375" style="4" customWidth="1"/>
    <col min="15105" max="15105" width="14.44140625" style="4" customWidth="1"/>
    <col min="15106" max="15106" width="12.21875" style="4" customWidth="1"/>
    <col min="15107" max="15108" width="11.77734375" style="4" customWidth="1"/>
    <col min="15109" max="15357" width="9.21875" style="4"/>
    <col min="15358" max="15358" width="6.44140625" style="4" customWidth="1"/>
    <col min="15359" max="15359" width="47.77734375" style="4" customWidth="1"/>
    <col min="15360" max="15360" width="12.77734375" style="4" customWidth="1"/>
    <col min="15361" max="15361" width="14.44140625" style="4" customWidth="1"/>
    <col min="15362" max="15362" width="12.21875" style="4" customWidth="1"/>
    <col min="15363" max="15364" width="11.77734375" style="4" customWidth="1"/>
    <col min="15365" max="15613" width="9.21875" style="4"/>
    <col min="15614" max="15614" width="6.44140625" style="4" customWidth="1"/>
    <col min="15615" max="15615" width="47.77734375" style="4" customWidth="1"/>
    <col min="15616" max="15616" width="12.77734375" style="4" customWidth="1"/>
    <col min="15617" max="15617" width="14.44140625" style="4" customWidth="1"/>
    <col min="15618" max="15618" width="12.21875" style="4" customWidth="1"/>
    <col min="15619" max="15620" width="11.77734375" style="4" customWidth="1"/>
    <col min="15621" max="15869" width="9.21875" style="4"/>
    <col min="15870" max="15870" width="6.44140625" style="4" customWidth="1"/>
    <col min="15871" max="15871" width="47.77734375" style="4" customWidth="1"/>
    <col min="15872" max="15872" width="12.77734375" style="4" customWidth="1"/>
    <col min="15873" max="15873" width="14.44140625" style="4" customWidth="1"/>
    <col min="15874" max="15874" width="12.21875" style="4" customWidth="1"/>
    <col min="15875" max="15876" width="11.77734375" style="4" customWidth="1"/>
    <col min="15877" max="16125" width="9.21875" style="4"/>
    <col min="16126" max="16126" width="6.44140625" style="4" customWidth="1"/>
    <col min="16127" max="16127" width="47.77734375" style="4" customWidth="1"/>
    <col min="16128" max="16128" width="12.77734375" style="4" customWidth="1"/>
    <col min="16129" max="16129" width="14.44140625" style="4" customWidth="1"/>
    <col min="16130" max="16130" width="12.21875" style="4" customWidth="1"/>
    <col min="16131" max="16132" width="11.77734375" style="4" customWidth="1"/>
    <col min="16133" max="16384" width="9.21875" style="4"/>
  </cols>
  <sheetData>
    <row r="1" spans="1:5" ht="27" customHeight="1" x14ac:dyDescent="0.25">
      <c r="A1" s="243" t="s">
        <v>475</v>
      </c>
      <c r="B1" s="243"/>
      <c r="C1" s="243"/>
      <c r="D1" s="125"/>
      <c r="E1" s="138"/>
    </row>
    <row r="2" spans="1:5" ht="26.55" customHeight="1" x14ac:dyDescent="0.25">
      <c r="A2" s="244" t="s">
        <v>86</v>
      </c>
      <c r="B2" s="244" t="s">
        <v>91</v>
      </c>
      <c r="C2" s="86" t="s">
        <v>305</v>
      </c>
      <c r="D2" s="36" t="s">
        <v>291</v>
      </c>
      <c r="E2" s="248"/>
    </row>
    <row r="3" spans="1:5" ht="40.049999999999997" customHeight="1" x14ac:dyDescent="0.25">
      <c r="A3" s="245"/>
      <c r="B3" s="245"/>
      <c r="C3" s="33" t="s">
        <v>476</v>
      </c>
      <c r="D3" s="33" t="s">
        <v>478</v>
      </c>
      <c r="E3" s="248"/>
    </row>
    <row r="4" spans="1:5" x14ac:dyDescent="0.25">
      <c r="A4" s="123">
        <v>1</v>
      </c>
      <c r="B4" s="123">
        <v>2</v>
      </c>
      <c r="C4" s="77"/>
      <c r="D4" s="77"/>
    </row>
    <row r="5" spans="1:5" x14ac:dyDescent="0.25">
      <c r="A5" s="30" t="s">
        <v>1</v>
      </c>
      <c r="B5" s="91" t="s">
        <v>157</v>
      </c>
      <c r="C5" s="78">
        <v>2297.41</v>
      </c>
      <c r="D5" s="78">
        <v>968.28</v>
      </c>
    </row>
    <row r="6" spans="1:5" x14ac:dyDescent="0.25">
      <c r="A6" s="30" t="s">
        <v>2</v>
      </c>
      <c r="B6" s="91" t="s">
        <v>292</v>
      </c>
      <c r="C6" s="78">
        <v>2405.87</v>
      </c>
      <c r="D6" s="78">
        <f>990.7+1744.6+356.93</f>
        <v>3092.23</v>
      </c>
    </row>
    <row r="7" spans="1:5" x14ac:dyDescent="0.25">
      <c r="A7" s="30"/>
      <c r="B7" s="91" t="s">
        <v>158</v>
      </c>
      <c r="C7" s="78"/>
      <c r="D7" s="77"/>
    </row>
    <row r="8" spans="1:5" ht="26.4" x14ac:dyDescent="0.25">
      <c r="A8" s="30" t="s">
        <v>3</v>
      </c>
      <c r="B8" s="91" t="s">
        <v>460</v>
      </c>
      <c r="C8" s="78"/>
      <c r="D8" s="77">
        <f>140.97+120+481.94+14.4</f>
        <v>757.31000000000006</v>
      </c>
    </row>
    <row r="9" spans="1:5" x14ac:dyDescent="0.25">
      <c r="A9" s="30"/>
      <c r="B9" s="91" t="s">
        <v>461</v>
      </c>
      <c r="C9" s="78"/>
      <c r="D9" s="77">
        <f>100+40.97</f>
        <v>140.97</v>
      </c>
    </row>
    <row r="10" spans="1:5" x14ac:dyDescent="0.25">
      <c r="A10" s="30" t="s">
        <v>89</v>
      </c>
      <c r="B10" s="91" t="s">
        <v>159</v>
      </c>
      <c r="C10" s="79"/>
      <c r="D10" s="79"/>
    </row>
    <row r="11" spans="1:5" x14ac:dyDescent="0.25">
      <c r="A11" s="30" t="s">
        <v>93</v>
      </c>
      <c r="B11" s="91" t="s">
        <v>160</v>
      </c>
      <c r="C11" s="174">
        <f>C12+C13</f>
        <v>266.01</v>
      </c>
      <c r="D11" s="174">
        <f t="shared" ref="D11" si="0">D12+D13</f>
        <v>240.2</v>
      </c>
    </row>
    <row r="12" spans="1:5" x14ac:dyDescent="0.25">
      <c r="A12" s="30" t="s">
        <v>161</v>
      </c>
      <c r="B12" s="91" t="s">
        <v>162</v>
      </c>
      <c r="C12" s="78">
        <v>64.2</v>
      </c>
      <c r="D12" s="78">
        <v>49.2</v>
      </c>
    </row>
    <row r="13" spans="1:5" x14ac:dyDescent="0.25">
      <c r="A13" s="30" t="s">
        <v>163</v>
      </c>
      <c r="B13" s="91" t="s">
        <v>164</v>
      </c>
      <c r="C13" s="78">
        <v>201.81</v>
      </c>
      <c r="D13" s="78">
        <v>191</v>
      </c>
    </row>
    <row r="14" spans="1:5" x14ac:dyDescent="0.25">
      <c r="A14" s="30" t="s">
        <v>95</v>
      </c>
      <c r="B14" s="91" t="s">
        <v>165</v>
      </c>
      <c r="C14" s="78">
        <v>31367.18</v>
      </c>
      <c r="D14" s="78">
        <f>34976+418.6-173.32</f>
        <v>35221.279999999999</v>
      </c>
    </row>
    <row r="15" spans="1:5" x14ac:dyDescent="0.25">
      <c r="A15" s="30"/>
      <c r="B15" s="91" t="s">
        <v>482</v>
      </c>
      <c r="C15" s="78"/>
      <c r="D15" s="78">
        <v>33</v>
      </c>
    </row>
    <row r="16" spans="1:5" x14ac:dyDescent="0.25">
      <c r="A16" s="30"/>
      <c r="B16" s="91" t="s">
        <v>483</v>
      </c>
      <c r="C16" s="78"/>
      <c r="D16" s="78">
        <v>418.6</v>
      </c>
    </row>
    <row r="17" spans="1:4" x14ac:dyDescent="0.25">
      <c r="A17" s="30"/>
      <c r="B17" s="91" t="s">
        <v>158</v>
      </c>
      <c r="C17" s="78"/>
      <c r="D17" s="77"/>
    </row>
    <row r="18" spans="1:4" x14ac:dyDescent="0.25">
      <c r="A18" s="30" t="s">
        <v>4</v>
      </c>
      <c r="B18" s="92" t="s">
        <v>166</v>
      </c>
      <c r="C18" s="78">
        <v>9533.6200000000008</v>
      </c>
      <c r="D18" s="78">
        <v>10206</v>
      </c>
    </row>
    <row r="19" spans="1:4" x14ac:dyDescent="0.25">
      <c r="A19" s="30"/>
      <c r="B19" s="91" t="s">
        <v>158</v>
      </c>
      <c r="C19" s="78"/>
      <c r="D19" s="77"/>
    </row>
    <row r="20" spans="1:4" x14ac:dyDescent="0.25">
      <c r="A20" s="30" t="s">
        <v>96</v>
      </c>
      <c r="B20" s="93" t="s">
        <v>167</v>
      </c>
      <c r="C20" s="78">
        <v>10947.46</v>
      </c>
      <c r="D20" s="78">
        <v>6037.55</v>
      </c>
    </row>
    <row r="21" spans="1:4" x14ac:dyDescent="0.25">
      <c r="A21" s="30" t="s">
        <v>97</v>
      </c>
      <c r="B21" s="91" t="s">
        <v>168</v>
      </c>
      <c r="C21" s="174">
        <f>C23+C24+C25+C28+C32</f>
        <v>14822.84</v>
      </c>
      <c r="D21" s="174">
        <f>D23+D24+D25+D28+D32</f>
        <v>17620.91</v>
      </c>
    </row>
    <row r="22" spans="1:4" ht="39.6" x14ac:dyDescent="0.25">
      <c r="A22" s="94" t="s">
        <v>169</v>
      </c>
      <c r="B22" s="95" t="s">
        <v>440</v>
      </c>
      <c r="C22" s="79"/>
      <c r="D22" s="79"/>
    </row>
    <row r="23" spans="1:4" x14ac:dyDescent="0.25">
      <c r="A23" s="30" t="s">
        <v>170</v>
      </c>
      <c r="B23" s="91" t="s">
        <v>337</v>
      </c>
      <c r="C23" s="79">
        <v>44.7</v>
      </c>
      <c r="D23" s="78">
        <f>49.55+5.2</f>
        <v>54.75</v>
      </c>
    </row>
    <row r="24" spans="1:4" ht="26.4" x14ac:dyDescent="0.25">
      <c r="A24" s="30" t="s">
        <v>171</v>
      </c>
      <c r="B24" s="91" t="s">
        <v>172</v>
      </c>
      <c r="C24" s="78">
        <v>19.100000000000001</v>
      </c>
      <c r="D24" s="77">
        <v>19.43</v>
      </c>
    </row>
    <row r="25" spans="1:4" ht="118.8" x14ac:dyDescent="0.25">
      <c r="A25" s="94" t="s">
        <v>294</v>
      </c>
      <c r="B25" s="91" t="s">
        <v>295</v>
      </c>
      <c r="C25" s="78">
        <v>9531.9500000000007</v>
      </c>
      <c r="D25" s="78">
        <v>10583.75</v>
      </c>
    </row>
    <row r="26" spans="1:4" ht="26.4" x14ac:dyDescent="0.25">
      <c r="A26" s="30" t="s">
        <v>296</v>
      </c>
      <c r="B26" s="91" t="s">
        <v>297</v>
      </c>
      <c r="C26" s="78"/>
      <c r="D26" s="80"/>
    </row>
    <row r="27" spans="1:4" x14ac:dyDescent="0.25">
      <c r="A27" s="30" t="s">
        <v>298</v>
      </c>
      <c r="B27" s="91" t="s">
        <v>299</v>
      </c>
      <c r="C27" s="78"/>
      <c r="D27" s="78"/>
    </row>
    <row r="28" spans="1:4" ht="26.4" x14ac:dyDescent="0.25">
      <c r="A28" s="30" t="s">
        <v>173</v>
      </c>
      <c r="B28" s="91" t="s">
        <v>174</v>
      </c>
      <c r="C28" s="174">
        <f>C30+C31</f>
        <v>3526.33</v>
      </c>
      <c r="D28" s="174">
        <f t="shared" ref="D28" si="1">D30+D31</f>
        <v>2824.57</v>
      </c>
    </row>
    <row r="29" spans="1:4" x14ac:dyDescent="0.25">
      <c r="A29" s="30" t="s">
        <v>175</v>
      </c>
      <c r="B29" s="91" t="s">
        <v>176</v>
      </c>
      <c r="C29" s="78"/>
      <c r="D29" s="77"/>
    </row>
    <row r="30" spans="1:4" x14ac:dyDescent="0.25">
      <c r="A30" s="30" t="s">
        <v>177</v>
      </c>
      <c r="B30" s="91" t="s">
        <v>178</v>
      </c>
      <c r="C30" s="78">
        <v>45.6</v>
      </c>
      <c r="D30" s="78">
        <v>52.57</v>
      </c>
    </row>
    <row r="31" spans="1:4" x14ac:dyDescent="0.25">
      <c r="A31" s="30" t="s">
        <v>179</v>
      </c>
      <c r="B31" s="91" t="s">
        <v>180</v>
      </c>
      <c r="C31" s="78">
        <v>3480.73</v>
      </c>
      <c r="D31" s="78">
        <v>2772</v>
      </c>
    </row>
    <row r="32" spans="1:4" ht="26.4" x14ac:dyDescent="0.25">
      <c r="A32" s="30" t="s">
        <v>181</v>
      </c>
      <c r="B32" s="91" t="s">
        <v>300</v>
      </c>
      <c r="C32" s="78">
        <v>1700.76</v>
      </c>
      <c r="D32" s="78">
        <f>D85</f>
        <v>4138.41</v>
      </c>
    </row>
    <row r="33" spans="1:4" x14ac:dyDescent="0.25">
      <c r="A33" s="30" t="s">
        <v>182</v>
      </c>
      <c r="B33" s="91" t="s">
        <v>301</v>
      </c>
      <c r="C33" s="78"/>
      <c r="D33" s="77"/>
    </row>
    <row r="34" spans="1:4" x14ac:dyDescent="0.25">
      <c r="A34" s="30" t="s">
        <v>302</v>
      </c>
      <c r="B34" s="91" t="s">
        <v>303</v>
      </c>
      <c r="C34" s="78"/>
      <c r="D34" s="77"/>
    </row>
    <row r="35" spans="1:4" ht="27.6" x14ac:dyDescent="0.3">
      <c r="A35" s="32" t="s">
        <v>450</v>
      </c>
      <c r="B35" s="126" t="s">
        <v>395</v>
      </c>
      <c r="C35" s="78"/>
      <c r="D35" s="77">
        <v>343.67</v>
      </c>
    </row>
    <row r="36" spans="1:4" x14ac:dyDescent="0.25">
      <c r="A36" s="30" t="s">
        <v>98</v>
      </c>
      <c r="B36" s="96" t="s">
        <v>183</v>
      </c>
      <c r="C36" s="82">
        <f>C5+C6+C8+C11+C14+C18+C20+C21</f>
        <v>71640.39</v>
      </c>
      <c r="D36" s="82">
        <f>D5+D6+D8+D11+D14+D18+D20+D21+D35</f>
        <v>74487.430000000008</v>
      </c>
    </row>
    <row r="37" spans="1:4" ht="26.4" x14ac:dyDescent="0.25">
      <c r="A37" s="30" t="s">
        <v>99</v>
      </c>
      <c r="B37" s="91" t="s">
        <v>184</v>
      </c>
      <c r="C37" s="78"/>
      <c r="D37" s="77"/>
    </row>
    <row r="38" spans="1:4" ht="26.4" x14ac:dyDescent="0.25">
      <c r="A38" s="30" t="s">
        <v>185</v>
      </c>
      <c r="B38" s="91" t="s">
        <v>186</v>
      </c>
      <c r="C38" s="77">
        <v>-6378.51</v>
      </c>
      <c r="D38" s="77"/>
    </row>
    <row r="39" spans="1:4" x14ac:dyDescent="0.25">
      <c r="A39" s="30"/>
      <c r="B39" s="91"/>
      <c r="C39" s="77"/>
      <c r="D39" s="77"/>
    </row>
    <row r="40" spans="1:4" x14ac:dyDescent="0.25">
      <c r="A40" s="31" t="s">
        <v>187</v>
      </c>
      <c r="B40" s="91" t="s">
        <v>188</v>
      </c>
      <c r="C40" s="82">
        <f>C36+C38</f>
        <v>65261.88</v>
      </c>
      <c r="D40" s="82">
        <f>D36+D37</f>
        <v>74487.430000000008</v>
      </c>
    </row>
    <row r="41" spans="1:4" x14ac:dyDescent="0.25">
      <c r="A41" s="30"/>
      <c r="B41" s="91" t="s">
        <v>189</v>
      </c>
      <c r="C41" s="77"/>
      <c r="D41" s="77"/>
    </row>
    <row r="42" spans="1:4" x14ac:dyDescent="0.25">
      <c r="A42" s="32" t="s">
        <v>190</v>
      </c>
      <c r="B42" s="91" t="s">
        <v>191</v>
      </c>
      <c r="C42" s="77"/>
      <c r="D42" s="77"/>
    </row>
    <row r="43" spans="1:4" x14ac:dyDescent="0.25">
      <c r="A43" s="32" t="s">
        <v>192</v>
      </c>
      <c r="B43" s="91" t="s">
        <v>193</v>
      </c>
      <c r="C43" s="77"/>
      <c r="D43" s="77"/>
    </row>
    <row r="44" spans="1:4" x14ac:dyDescent="0.25">
      <c r="A44" s="32" t="s">
        <v>194</v>
      </c>
      <c r="B44" s="91" t="s">
        <v>195</v>
      </c>
      <c r="C44" s="77"/>
      <c r="D44" s="77"/>
    </row>
    <row r="45" spans="1:4" x14ac:dyDescent="0.25">
      <c r="A45" s="32" t="s">
        <v>196</v>
      </c>
      <c r="B45" s="91" t="s">
        <v>197</v>
      </c>
      <c r="C45" s="77"/>
      <c r="D45" s="77"/>
    </row>
    <row r="46" spans="1:4" x14ac:dyDescent="0.25">
      <c r="A46" s="30" t="s">
        <v>198</v>
      </c>
      <c r="B46" s="91" t="s">
        <v>199</v>
      </c>
      <c r="C46" s="77"/>
      <c r="D46" s="77"/>
    </row>
    <row r="47" spans="1:4" x14ac:dyDescent="0.25">
      <c r="A47" s="32" t="s">
        <v>200</v>
      </c>
      <c r="B47" s="91" t="s">
        <v>201</v>
      </c>
      <c r="C47" s="77"/>
      <c r="D47" s="77"/>
    </row>
    <row r="48" spans="1:4" x14ac:dyDescent="0.25">
      <c r="A48" s="32" t="s">
        <v>202</v>
      </c>
      <c r="B48" s="91" t="s">
        <v>203</v>
      </c>
      <c r="C48" s="77"/>
      <c r="D48" s="77"/>
    </row>
    <row r="49" spans="1:5" x14ac:dyDescent="0.25">
      <c r="A49" s="32" t="s">
        <v>204</v>
      </c>
      <c r="B49" s="91" t="s">
        <v>205</v>
      </c>
      <c r="C49" s="77"/>
      <c r="D49" s="77"/>
    </row>
    <row r="50" spans="1:5" x14ac:dyDescent="0.25">
      <c r="A50" s="30" t="s">
        <v>206</v>
      </c>
      <c r="B50" s="91" t="s">
        <v>207</v>
      </c>
      <c r="C50" s="77"/>
      <c r="D50" s="77"/>
    </row>
    <row r="51" spans="1:5" x14ac:dyDescent="0.25">
      <c r="A51" s="124"/>
      <c r="B51" s="97" t="s">
        <v>208</v>
      </c>
      <c r="C51" s="82">
        <v>8587.8799999999992</v>
      </c>
      <c r="D51" s="82"/>
    </row>
    <row r="52" spans="1:5" x14ac:dyDescent="0.25">
      <c r="A52" s="98"/>
      <c r="B52" s="96" t="s">
        <v>209</v>
      </c>
      <c r="C52" s="82">
        <f>C40+C51</f>
        <v>73849.759999999995</v>
      </c>
      <c r="D52" s="82">
        <f t="shared" ref="D52" si="2">D40+D51</f>
        <v>74487.430000000008</v>
      </c>
    </row>
    <row r="53" spans="1:5" x14ac:dyDescent="0.25">
      <c r="B53" s="84"/>
      <c r="C53" s="85"/>
      <c r="D53" s="85"/>
      <c r="E53" s="85"/>
    </row>
    <row r="54" spans="1:5" x14ac:dyDescent="0.25">
      <c r="A54" s="4" t="s">
        <v>0</v>
      </c>
      <c r="B54" s="99"/>
      <c r="C54" s="4" t="s">
        <v>285</v>
      </c>
    </row>
    <row r="56" spans="1:5" ht="15.6" x14ac:dyDescent="0.3">
      <c r="A56" s="48" t="s">
        <v>336</v>
      </c>
    </row>
    <row r="57" spans="1:5" x14ac:dyDescent="0.25">
      <c r="A57" s="139" t="s">
        <v>451</v>
      </c>
    </row>
    <row r="58" spans="1:5" ht="26.55" customHeight="1" x14ac:dyDescent="0.25">
      <c r="A58" s="244" t="s">
        <v>86</v>
      </c>
      <c r="B58" s="244" t="s">
        <v>91</v>
      </c>
      <c r="C58" s="86" t="s">
        <v>305</v>
      </c>
      <c r="D58" s="36" t="s">
        <v>291</v>
      </c>
      <c r="E58" s="142"/>
    </row>
    <row r="59" spans="1:5" ht="34.5" customHeight="1" x14ac:dyDescent="0.25">
      <c r="A59" s="245"/>
      <c r="B59" s="245"/>
      <c r="C59" s="33" t="s">
        <v>476</v>
      </c>
      <c r="D59" s="33" t="s">
        <v>477</v>
      </c>
    </row>
    <row r="60" spans="1:5" x14ac:dyDescent="0.25">
      <c r="A60" s="77"/>
      <c r="B60" s="77" t="s">
        <v>462</v>
      </c>
      <c r="C60" s="77"/>
      <c r="D60" s="78">
        <v>85.5</v>
      </c>
    </row>
    <row r="61" spans="1:5" x14ac:dyDescent="0.25">
      <c r="A61" s="77"/>
      <c r="B61" s="77" t="s">
        <v>465</v>
      </c>
      <c r="C61" s="77"/>
      <c r="D61" s="78">
        <v>14.44</v>
      </c>
    </row>
    <row r="62" spans="1:5" x14ac:dyDescent="0.25">
      <c r="A62" s="77"/>
      <c r="B62" s="77" t="s">
        <v>309</v>
      </c>
      <c r="C62" s="77"/>
      <c r="D62" s="78">
        <f>8.13+341.78+48.96</f>
        <v>398.86999999999995</v>
      </c>
      <c r="E62" s="172"/>
    </row>
    <row r="63" spans="1:5" ht="40.799999999999997" customHeight="1" x14ac:dyDescent="0.25">
      <c r="A63" s="77"/>
      <c r="B63" s="77" t="s">
        <v>310</v>
      </c>
      <c r="C63" s="77"/>
      <c r="D63" s="78">
        <f>327.95+30</f>
        <v>357.95</v>
      </c>
      <c r="E63" s="172"/>
    </row>
    <row r="64" spans="1:5" x14ac:dyDescent="0.25">
      <c r="A64" s="77"/>
      <c r="B64" s="77" t="s">
        <v>311</v>
      </c>
      <c r="C64" s="77"/>
      <c r="D64" s="78">
        <v>232.89</v>
      </c>
    </row>
    <row r="65" spans="1:5" x14ac:dyDescent="0.25">
      <c r="A65" s="77"/>
      <c r="B65" s="77" t="s">
        <v>92</v>
      </c>
      <c r="C65" s="77"/>
      <c r="D65" s="78">
        <f>152.62+129.71</f>
        <v>282.33000000000004</v>
      </c>
      <c r="E65" s="172"/>
    </row>
    <row r="66" spans="1:5" x14ac:dyDescent="0.25">
      <c r="A66" s="77"/>
      <c r="B66" s="77" t="s">
        <v>447</v>
      </c>
      <c r="C66" s="77"/>
      <c r="D66" s="78">
        <v>51.25</v>
      </c>
    </row>
    <row r="67" spans="1:5" x14ac:dyDescent="0.25">
      <c r="A67" s="101"/>
      <c r="B67" s="77" t="s">
        <v>312</v>
      </c>
      <c r="C67" s="77"/>
      <c r="D67" s="78">
        <v>74</v>
      </c>
    </row>
    <row r="68" spans="1:5" x14ac:dyDescent="0.25">
      <c r="A68" s="77"/>
      <c r="B68" s="77" t="s">
        <v>464</v>
      </c>
      <c r="C68" s="77"/>
      <c r="D68" s="78">
        <v>35.299999999999997</v>
      </c>
    </row>
    <row r="69" spans="1:5" x14ac:dyDescent="0.25">
      <c r="A69" s="77"/>
      <c r="B69" s="77" t="s">
        <v>463</v>
      </c>
      <c r="C69" s="77"/>
      <c r="D69" s="78">
        <f>2.89+1.44+3.64+3.42</f>
        <v>11.39</v>
      </c>
    </row>
    <row r="70" spans="1:5" x14ac:dyDescent="0.25">
      <c r="A70" s="77"/>
      <c r="B70" s="77" t="s">
        <v>466</v>
      </c>
      <c r="C70" s="77"/>
      <c r="D70" s="78">
        <v>15.03</v>
      </c>
    </row>
    <row r="71" spans="1:5" x14ac:dyDescent="0.25">
      <c r="A71" s="77"/>
      <c r="B71" s="77" t="s">
        <v>325</v>
      </c>
      <c r="C71" s="77"/>
      <c r="D71" s="78">
        <f>81.36+75.88+30</f>
        <v>187.24</v>
      </c>
      <c r="E71" s="172"/>
    </row>
    <row r="72" spans="1:5" x14ac:dyDescent="0.25">
      <c r="A72" s="77"/>
      <c r="B72" s="77" t="s">
        <v>323</v>
      </c>
      <c r="C72" s="77"/>
      <c r="D72" s="78">
        <v>162.72</v>
      </c>
    </row>
    <row r="73" spans="1:5" x14ac:dyDescent="0.25">
      <c r="A73" s="77"/>
      <c r="B73" s="77" t="s">
        <v>446</v>
      </c>
      <c r="C73" s="77"/>
      <c r="D73" s="78">
        <v>9.41</v>
      </c>
    </row>
    <row r="74" spans="1:5" ht="23.4" customHeight="1" x14ac:dyDescent="0.25">
      <c r="A74" s="77"/>
      <c r="B74" s="47" t="s">
        <v>327</v>
      </c>
      <c r="C74" s="77"/>
      <c r="D74" s="78">
        <f>13.69+3.16</f>
        <v>16.850000000000001</v>
      </c>
      <c r="E74" s="172"/>
    </row>
    <row r="75" spans="1:5" x14ac:dyDescent="0.25">
      <c r="A75" s="77"/>
      <c r="B75" s="73" t="s">
        <v>441</v>
      </c>
      <c r="C75" s="77"/>
      <c r="D75" s="78">
        <v>1.9</v>
      </c>
    </row>
    <row r="76" spans="1:5" x14ac:dyDescent="0.25">
      <c r="A76" s="77"/>
      <c r="B76" s="73" t="s">
        <v>338</v>
      </c>
      <c r="C76" s="77"/>
      <c r="D76" s="78">
        <v>31.5</v>
      </c>
    </row>
    <row r="77" spans="1:5" x14ac:dyDescent="0.25">
      <c r="A77" s="77"/>
      <c r="B77" s="77" t="s">
        <v>484</v>
      </c>
      <c r="C77" s="77"/>
      <c r="D77" s="78">
        <v>5.86</v>
      </c>
    </row>
    <row r="78" spans="1:5" x14ac:dyDescent="0.25">
      <c r="A78" s="77"/>
      <c r="B78" s="77" t="s">
        <v>313</v>
      </c>
      <c r="C78" s="77"/>
      <c r="D78" s="78">
        <v>13.34</v>
      </c>
    </row>
    <row r="79" spans="1:5" ht="21" x14ac:dyDescent="0.25">
      <c r="A79" s="77"/>
      <c r="B79" s="47" t="s">
        <v>314</v>
      </c>
      <c r="C79" s="77"/>
      <c r="D79" s="78">
        <v>25.24</v>
      </c>
    </row>
    <row r="80" spans="1:5" x14ac:dyDescent="0.25">
      <c r="A80" s="77"/>
      <c r="B80" s="87" t="s">
        <v>485</v>
      </c>
      <c r="C80" s="77"/>
      <c r="D80" s="78">
        <v>17.329999999999998</v>
      </c>
    </row>
    <row r="81" spans="1:4" x14ac:dyDescent="0.25">
      <c r="A81" s="77"/>
      <c r="B81" s="77" t="s">
        <v>449</v>
      </c>
      <c r="C81" s="77"/>
      <c r="D81" s="78">
        <v>15.25</v>
      </c>
    </row>
    <row r="82" spans="1:4" x14ac:dyDescent="0.25">
      <c r="A82" s="77"/>
      <c r="B82" s="77" t="s">
        <v>486</v>
      </c>
      <c r="C82" s="77"/>
      <c r="D82" s="78">
        <v>311.16000000000003</v>
      </c>
    </row>
    <row r="83" spans="1:4" x14ac:dyDescent="0.25">
      <c r="A83" s="77"/>
      <c r="B83" s="77" t="s">
        <v>315</v>
      </c>
      <c r="C83" s="77"/>
      <c r="D83" s="78">
        <v>244.82</v>
      </c>
    </row>
    <row r="84" spans="1:4" x14ac:dyDescent="0.25">
      <c r="A84" s="101"/>
      <c r="B84" s="77" t="s">
        <v>487</v>
      </c>
      <c r="C84" s="77"/>
      <c r="D84" s="78">
        <v>1536.84</v>
      </c>
    </row>
    <row r="85" spans="1:4" x14ac:dyDescent="0.25">
      <c r="A85" s="77"/>
      <c r="B85" s="77" t="s">
        <v>88</v>
      </c>
      <c r="C85" s="83">
        <f>SUM(C60:C83)</f>
        <v>0</v>
      </c>
      <c r="D85" s="82">
        <f>SUM(D60:D84)</f>
        <v>4138.41</v>
      </c>
    </row>
    <row r="87" spans="1:4" x14ac:dyDescent="0.25">
      <c r="A87" s="4" t="s">
        <v>0</v>
      </c>
      <c r="B87" s="99"/>
      <c r="C87" s="4" t="s">
        <v>285</v>
      </c>
    </row>
    <row r="91" spans="1:4" ht="17.399999999999999" x14ac:dyDescent="0.3">
      <c r="B91" s="100" t="s">
        <v>316</v>
      </c>
    </row>
    <row r="93" spans="1:4" ht="25.95" customHeight="1" x14ac:dyDescent="0.25">
      <c r="A93" s="244" t="s">
        <v>86</v>
      </c>
      <c r="B93" s="244" t="s">
        <v>91</v>
      </c>
      <c r="C93" s="86" t="s">
        <v>305</v>
      </c>
      <c r="D93" s="36" t="s">
        <v>291</v>
      </c>
    </row>
    <row r="94" spans="1:4" ht="53.4" customHeight="1" x14ac:dyDescent="0.25">
      <c r="A94" s="245"/>
      <c r="B94" s="245"/>
      <c r="C94" s="33" t="s">
        <v>476</v>
      </c>
      <c r="D94" s="33" t="s">
        <v>478</v>
      </c>
    </row>
    <row r="95" spans="1:4" x14ac:dyDescent="0.25">
      <c r="A95" s="77"/>
      <c r="B95" s="77" t="s">
        <v>157</v>
      </c>
      <c r="C95" s="78">
        <v>2297.41</v>
      </c>
      <c r="D95" s="82">
        <v>968.28</v>
      </c>
    </row>
    <row r="96" spans="1:4" x14ac:dyDescent="0.25">
      <c r="A96" s="77"/>
      <c r="B96" s="77" t="s">
        <v>317</v>
      </c>
      <c r="C96" s="78">
        <v>2405.87</v>
      </c>
      <c r="D96" s="82">
        <f>990.7+D99+D100</f>
        <v>3092.23</v>
      </c>
    </row>
    <row r="97" spans="1:5" x14ac:dyDescent="0.25">
      <c r="A97" s="77" t="s">
        <v>221</v>
      </c>
      <c r="B97" s="77" t="s">
        <v>319</v>
      </c>
      <c r="C97" s="77"/>
      <c r="D97" s="77">
        <v>115.6</v>
      </c>
    </row>
    <row r="98" spans="1:5" x14ac:dyDescent="0.25">
      <c r="A98" s="77"/>
      <c r="B98" s="77" t="s">
        <v>494</v>
      </c>
      <c r="C98" s="77"/>
      <c r="D98" s="77">
        <v>8.5</v>
      </c>
    </row>
    <row r="99" spans="1:5" x14ac:dyDescent="0.25">
      <c r="A99" s="77"/>
      <c r="B99" s="77" t="s">
        <v>320</v>
      </c>
      <c r="C99" s="77">
        <v>1343.02</v>
      </c>
      <c r="D99" s="83">
        <v>1744.6</v>
      </c>
    </row>
    <row r="100" spans="1:5" x14ac:dyDescent="0.25">
      <c r="A100" s="77"/>
      <c r="B100" s="77" t="s">
        <v>318</v>
      </c>
      <c r="C100" s="77"/>
      <c r="D100" s="83">
        <v>356.93</v>
      </c>
    </row>
    <row r="101" spans="1:5" x14ac:dyDescent="0.25">
      <c r="A101" s="77"/>
      <c r="B101" s="77" t="s">
        <v>321</v>
      </c>
      <c r="C101" s="83"/>
      <c r="D101" s="77">
        <v>0</v>
      </c>
    </row>
    <row r="102" spans="1:5" ht="15.6" x14ac:dyDescent="0.3">
      <c r="A102" s="77"/>
      <c r="B102" s="83" t="s">
        <v>88</v>
      </c>
      <c r="C102" s="181">
        <f>C95+C96</f>
        <v>4703.28</v>
      </c>
      <c r="D102" s="181">
        <f>D95+D96</f>
        <v>4060.51</v>
      </c>
    </row>
    <row r="104" spans="1:5" x14ac:dyDescent="0.25">
      <c r="A104" s="4" t="s">
        <v>0</v>
      </c>
      <c r="B104" s="99"/>
      <c r="C104" s="4" t="s">
        <v>285</v>
      </c>
    </row>
    <row r="105" spans="1:5" x14ac:dyDescent="0.25">
      <c r="B105" s="99"/>
    </row>
    <row r="106" spans="1:5" x14ac:dyDescent="0.25">
      <c r="B106" s="99"/>
    </row>
    <row r="107" spans="1:5" ht="17.399999999999999" x14ac:dyDescent="0.3">
      <c r="A107" s="100" t="s">
        <v>322</v>
      </c>
    </row>
    <row r="108" spans="1:5" ht="44.55" customHeight="1" x14ac:dyDescent="0.25">
      <c r="A108" s="244" t="s">
        <v>86</v>
      </c>
      <c r="B108" s="244" t="s">
        <v>91</v>
      </c>
      <c r="C108" s="86" t="s">
        <v>305</v>
      </c>
      <c r="D108" s="36" t="s">
        <v>291</v>
      </c>
      <c r="E108" s="142"/>
    </row>
    <row r="109" spans="1:5" ht="45.45" customHeight="1" x14ac:dyDescent="0.25">
      <c r="A109" s="245"/>
      <c r="B109" s="245"/>
      <c r="C109" s="33" t="s">
        <v>476</v>
      </c>
      <c r="D109" s="33" t="s">
        <v>477</v>
      </c>
      <c r="E109" s="143"/>
    </row>
    <row r="110" spans="1:5" x14ac:dyDescent="0.25">
      <c r="A110" s="77"/>
      <c r="B110" s="39" t="s">
        <v>220</v>
      </c>
      <c r="C110" s="83">
        <v>6663.8</v>
      </c>
      <c r="D110" s="83">
        <f>D112</f>
        <v>0</v>
      </c>
      <c r="E110" s="144"/>
    </row>
    <row r="111" spans="1:5" x14ac:dyDescent="0.25">
      <c r="A111" s="77"/>
      <c r="B111" s="35" t="s">
        <v>221</v>
      </c>
      <c r="C111" s="83"/>
      <c r="D111" s="77"/>
      <c r="E111" s="144"/>
    </row>
    <row r="112" spans="1:5" x14ac:dyDescent="0.25">
      <c r="A112" s="77"/>
      <c r="B112" s="35" t="s">
        <v>222</v>
      </c>
      <c r="C112" s="77">
        <v>6663.8</v>
      </c>
      <c r="D112" s="77"/>
      <c r="E112" s="144"/>
    </row>
    <row r="113" spans="1:5" x14ac:dyDescent="0.25">
      <c r="A113" s="77"/>
      <c r="B113" s="39" t="s">
        <v>223</v>
      </c>
      <c r="C113" s="83">
        <v>0</v>
      </c>
      <c r="D113" s="83">
        <f>D119</f>
        <v>173.32</v>
      </c>
      <c r="E113" s="145"/>
    </row>
    <row r="114" spans="1:5" x14ac:dyDescent="0.25">
      <c r="A114" s="77"/>
      <c r="B114" s="35" t="s">
        <v>221</v>
      </c>
      <c r="C114" s="77"/>
      <c r="D114" s="77"/>
      <c r="E114" s="144"/>
    </row>
    <row r="115" spans="1:5" x14ac:dyDescent="0.25">
      <c r="A115" s="77"/>
      <c r="B115" s="35" t="s">
        <v>224</v>
      </c>
      <c r="C115" s="77"/>
      <c r="D115" s="77"/>
      <c r="E115" s="144"/>
    </row>
    <row r="116" spans="1:5" x14ac:dyDescent="0.25">
      <c r="A116" s="77"/>
      <c r="B116" s="35" t="s">
        <v>226</v>
      </c>
      <c r="C116" s="83"/>
      <c r="D116" s="77"/>
      <c r="E116" s="144"/>
    </row>
    <row r="117" spans="1:5" x14ac:dyDescent="0.25">
      <c r="A117" s="77"/>
      <c r="B117" s="35" t="s">
        <v>227</v>
      </c>
      <c r="C117" s="77"/>
      <c r="D117" s="77"/>
      <c r="E117" s="144"/>
    </row>
    <row r="118" spans="1:5" x14ac:dyDescent="0.25">
      <c r="A118" s="77"/>
      <c r="B118" s="35" t="s">
        <v>256</v>
      </c>
      <c r="C118" s="77"/>
      <c r="D118" s="77"/>
      <c r="E118" s="144"/>
    </row>
    <row r="119" spans="1:5" x14ac:dyDescent="0.25">
      <c r="A119" s="77"/>
      <c r="B119" s="35" t="s">
        <v>225</v>
      </c>
      <c r="C119" s="77"/>
      <c r="D119" s="77">
        <v>173.32</v>
      </c>
      <c r="E119" s="144"/>
    </row>
    <row r="120" spans="1:5" ht="20.399999999999999" x14ac:dyDescent="0.25">
      <c r="A120" s="77"/>
      <c r="B120" s="35" t="s">
        <v>228</v>
      </c>
      <c r="C120" s="77"/>
      <c r="D120" s="77"/>
      <c r="E120" s="144"/>
    </row>
    <row r="121" spans="1:5" x14ac:dyDescent="0.25">
      <c r="A121" s="77"/>
      <c r="B121" s="35" t="s">
        <v>229</v>
      </c>
      <c r="C121" s="77"/>
      <c r="D121" s="77"/>
      <c r="E121" s="144"/>
    </row>
    <row r="122" spans="1:5" x14ac:dyDescent="0.25">
      <c r="A122" s="77"/>
      <c r="B122" s="35" t="s">
        <v>230</v>
      </c>
      <c r="C122" s="77"/>
      <c r="D122" s="77"/>
      <c r="E122" s="144"/>
    </row>
    <row r="123" spans="1:5" x14ac:dyDescent="0.25">
      <c r="A123" s="77"/>
      <c r="B123" s="35" t="s">
        <v>231</v>
      </c>
      <c r="C123" s="77"/>
      <c r="D123" s="77"/>
      <c r="E123" s="144"/>
    </row>
    <row r="124" spans="1:5" x14ac:dyDescent="0.25">
      <c r="A124" s="77"/>
      <c r="B124" s="35" t="s">
        <v>232</v>
      </c>
      <c r="C124" s="77"/>
      <c r="D124" s="77"/>
      <c r="E124" s="144"/>
    </row>
    <row r="125" spans="1:5" x14ac:dyDescent="0.25">
      <c r="A125" s="77"/>
      <c r="B125" s="39" t="s">
        <v>233</v>
      </c>
      <c r="C125" s="83">
        <v>433.2</v>
      </c>
      <c r="D125" s="83">
        <f>D126+D127+D128+D129+D130+D131+D132</f>
        <v>114.55</v>
      </c>
      <c r="E125" s="145"/>
    </row>
    <row r="126" spans="1:5" x14ac:dyDescent="0.25">
      <c r="A126" s="77"/>
      <c r="B126" s="35" t="s">
        <v>234</v>
      </c>
      <c r="C126" s="77"/>
      <c r="D126" s="77"/>
      <c r="E126" s="144"/>
    </row>
    <row r="127" spans="1:5" x14ac:dyDescent="0.25">
      <c r="A127" s="77"/>
      <c r="B127" s="35" t="s">
        <v>235</v>
      </c>
      <c r="C127" s="77"/>
      <c r="D127" s="77"/>
      <c r="E127" s="144"/>
    </row>
    <row r="128" spans="1:5" x14ac:dyDescent="0.25">
      <c r="A128" s="77"/>
      <c r="B128" s="35" t="s">
        <v>251</v>
      </c>
      <c r="C128" s="77"/>
      <c r="D128" s="77"/>
      <c r="E128" s="144"/>
    </row>
    <row r="129" spans="1:5" x14ac:dyDescent="0.25">
      <c r="A129" s="77"/>
      <c r="B129" s="35" t="s">
        <v>236</v>
      </c>
      <c r="C129" s="77"/>
      <c r="D129" s="77"/>
      <c r="E129" s="144"/>
    </row>
    <row r="130" spans="1:5" x14ac:dyDescent="0.25">
      <c r="A130" s="77"/>
      <c r="B130" s="35" t="s">
        <v>237</v>
      </c>
      <c r="C130" s="77"/>
      <c r="D130" s="77">
        <v>28</v>
      </c>
      <c r="E130" s="144"/>
    </row>
    <row r="131" spans="1:5" x14ac:dyDescent="0.25">
      <c r="A131" s="77"/>
      <c r="B131" s="35" t="s">
        <v>238</v>
      </c>
      <c r="C131" s="77"/>
      <c r="D131" s="77">
        <v>5</v>
      </c>
      <c r="E131" s="144"/>
    </row>
    <row r="132" spans="1:5" x14ac:dyDescent="0.25">
      <c r="A132" s="77"/>
      <c r="B132" s="35" t="s">
        <v>448</v>
      </c>
      <c r="C132" s="77"/>
      <c r="D132" s="77">
        <v>81.55</v>
      </c>
      <c r="E132" s="144"/>
    </row>
    <row r="133" spans="1:5" x14ac:dyDescent="0.25">
      <c r="A133" s="77"/>
      <c r="B133" s="39" t="s">
        <v>239</v>
      </c>
      <c r="C133" s="77"/>
      <c r="D133" s="77"/>
      <c r="E133" s="144"/>
    </row>
    <row r="134" spans="1:5" x14ac:dyDescent="0.25">
      <c r="A134" s="77"/>
      <c r="B134" s="39" t="s">
        <v>240</v>
      </c>
      <c r="C134" s="83">
        <v>59.6</v>
      </c>
      <c r="D134" s="83">
        <v>55.8</v>
      </c>
      <c r="E134" s="145"/>
    </row>
    <row r="135" spans="1:5" x14ac:dyDescent="0.25">
      <c r="A135" s="77"/>
      <c r="B135" s="35" t="s">
        <v>241</v>
      </c>
      <c r="C135" s="77"/>
      <c r="D135" s="77"/>
      <c r="E135" s="137"/>
    </row>
    <row r="136" spans="1:5" x14ac:dyDescent="0.25">
      <c r="A136" s="77"/>
      <c r="B136" s="35" t="s">
        <v>242</v>
      </c>
      <c r="C136" s="77"/>
      <c r="D136" s="77"/>
      <c r="E136" s="144"/>
    </row>
    <row r="137" spans="1:5" x14ac:dyDescent="0.25">
      <c r="A137" s="77"/>
      <c r="B137" s="35" t="s">
        <v>243</v>
      </c>
      <c r="C137" s="77"/>
      <c r="D137" s="77"/>
      <c r="E137" s="144"/>
    </row>
    <row r="138" spans="1:5" x14ac:dyDescent="0.25">
      <c r="A138" s="77"/>
      <c r="B138" s="35" t="s">
        <v>218</v>
      </c>
      <c r="C138" s="77">
        <v>59.6</v>
      </c>
      <c r="D138" s="77">
        <v>55.8</v>
      </c>
      <c r="E138" s="144"/>
    </row>
    <row r="139" spans="1:5" x14ac:dyDescent="0.25">
      <c r="A139" s="77"/>
      <c r="B139" s="35" t="s">
        <v>242</v>
      </c>
      <c r="C139" s="77"/>
      <c r="D139" s="77"/>
      <c r="E139" s="144"/>
    </row>
    <row r="140" spans="1:5" x14ac:dyDescent="0.25">
      <c r="A140" s="77"/>
      <c r="B140" s="35" t="s">
        <v>244</v>
      </c>
      <c r="C140" s="77"/>
      <c r="D140" s="77"/>
      <c r="E140" s="144"/>
    </row>
    <row r="141" spans="1:5" x14ac:dyDescent="0.25">
      <c r="A141" s="77"/>
      <c r="B141" s="35" t="s">
        <v>245</v>
      </c>
      <c r="C141" s="77"/>
      <c r="D141" s="77"/>
      <c r="E141" s="144"/>
    </row>
    <row r="142" spans="1:5" x14ac:dyDescent="0.25">
      <c r="A142" s="77"/>
      <c r="B142" s="35" t="s">
        <v>246</v>
      </c>
      <c r="C142" s="77"/>
      <c r="D142" s="77"/>
      <c r="E142" s="144"/>
    </row>
    <row r="143" spans="1:5" x14ac:dyDescent="0.25">
      <c r="A143" s="77"/>
      <c r="B143" s="39" t="s">
        <v>247</v>
      </c>
      <c r="C143" s="83">
        <v>7156.6</v>
      </c>
      <c r="D143" s="83">
        <f>D134+D125+D113+D110</f>
        <v>343.66999999999996</v>
      </c>
      <c r="E143" s="144"/>
    </row>
    <row r="144" spans="1:5" x14ac:dyDescent="0.25">
      <c r="A144" s="77"/>
      <c r="B144" s="35" t="s">
        <v>248</v>
      </c>
      <c r="C144" s="77">
        <v>1431.3</v>
      </c>
      <c r="D144" s="77"/>
      <c r="E144" s="144"/>
    </row>
    <row r="145" spans="1:5" x14ac:dyDescent="0.25">
      <c r="A145" s="77"/>
      <c r="B145" s="39" t="s">
        <v>249</v>
      </c>
      <c r="C145" s="83">
        <f>C110+C113+C125+C134+C144</f>
        <v>8587.9</v>
      </c>
      <c r="D145" s="83">
        <f>D110+D113+D125+D134+D144</f>
        <v>343.67</v>
      </c>
      <c r="E145" s="145"/>
    </row>
    <row r="147" spans="1:5" x14ac:dyDescent="0.25">
      <c r="A147" s="4" t="s">
        <v>0</v>
      </c>
      <c r="B147" s="99"/>
      <c r="C147" s="4" t="s">
        <v>285</v>
      </c>
    </row>
  </sheetData>
  <mergeCells count="10">
    <mergeCell ref="E2:E3"/>
    <mergeCell ref="A58:A59"/>
    <mergeCell ref="B58:B59"/>
    <mergeCell ref="A93:A94"/>
    <mergeCell ref="B93:B94"/>
    <mergeCell ref="A1:C1"/>
    <mergeCell ref="A2:A3"/>
    <mergeCell ref="B2:B3"/>
    <mergeCell ref="A108:A109"/>
    <mergeCell ref="B108:B10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opLeftCell="A94" workbookViewId="0">
      <selection activeCell="I10" sqref="I10"/>
    </sheetView>
  </sheetViews>
  <sheetFormatPr defaultColWidth="8.77734375" defaultRowHeight="14.4" x14ac:dyDescent="0.3"/>
  <cols>
    <col min="1" max="1" width="6.88671875" style="3" customWidth="1"/>
    <col min="2" max="2" width="35.33203125" style="3" customWidth="1"/>
    <col min="3" max="3" width="9" style="3" customWidth="1"/>
    <col min="4" max="4" width="9.21875" style="3" customWidth="1"/>
    <col min="5" max="5" width="8.6640625" style="3" customWidth="1"/>
    <col min="6" max="6" width="8.77734375" style="3" customWidth="1"/>
    <col min="7" max="9" width="8.77734375" style="3"/>
    <col min="10" max="10" width="46" style="3" customWidth="1"/>
    <col min="11" max="11" width="7.33203125" style="3" customWidth="1"/>
    <col min="12" max="16384" width="8.77734375" style="3"/>
  </cols>
  <sheetData>
    <row r="1" spans="1:8" ht="39.6" x14ac:dyDescent="0.3">
      <c r="B1" s="103" t="s">
        <v>254</v>
      </c>
      <c r="C1" s="103"/>
      <c r="D1" s="103"/>
    </row>
    <row r="2" spans="1:8" ht="25.2" customHeight="1" x14ac:dyDescent="0.3">
      <c r="B2" s="46" t="s">
        <v>479</v>
      </c>
      <c r="C2" s="103"/>
      <c r="D2" s="103"/>
      <c r="E2" s="3" t="s">
        <v>151</v>
      </c>
    </row>
    <row r="3" spans="1:8" ht="27.45" customHeight="1" x14ac:dyDescent="0.3">
      <c r="A3" s="27" t="s">
        <v>210</v>
      </c>
      <c r="B3" s="27" t="s">
        <v>87</v>
      </c>
      <c r="C3" s="27" t="s">
        <v>339</v>
      </c>
      <c r="D3" s="28" t="s">
        <v>438</v>
      </c>
      <c r="E3" s="27" t="s">
        <v>329</v>
      </c>
      <c r="F3" s="28" t="s">
        <v>467</v>
      </c>
      <c r="G3" s="27" t="s">
        <v>480</v>
      </c>
      <c r="H3" s="28" t="s">
        <v>481</v>
      </c>
    </row>
    <row r="4" spans="1:8" x14ac:dyDescent="0.3">
      <c r="A4" s="27">
        <v>1</v>
      </c>
      <c r="B4" s="26" t="s">
        <v>211</v>
      </c>
      <c r="C4" s="27"/>
      <c r="D4" s="27"/>
      <c r="E4" s="27"/>
      <c r="F4" s="27"/>
      <c r="G4" s="27"/>
      <c r="H4" s="27"/>
    </row>
    <row r="5" spans="1:8" x14ac:dyDescent="0.3">
      <c r="A5" s="115" t="s">
        <v>340</v>
      </c>
      <c r="B5" s="41" t="s">
        <v>341</v>
      </c>
      <c r="C5" s="41">
        <v>2154.38</v>
      </c>
      <c r="D5" s="41">
        <f>D6+D9</f>
        <v>2589.1999999999998</v>
      </c>
      <c r="E5" s="41">
        <v>2321.08</v>
      </c>
      <c r="F5" s="41">
        <f>F6+F9</f>
        <v>5381.66</v>
      </c>
      <c r="G5" s="41">
        <v>2405.87</v>
      </c>
      <c r="H5" s="41">
        <f>H6+H9</f>
        <v>3849.54</v>
      </c>
    </row>
    <row r="6" spans="1:8" x14ac:dyDescent="0.3">
      <c r="A6" s="111" t="s">
        <v>342</v>
      </c>
      <c r="B6" s="28" t="s">
        <v>292</v>
      </c>
      <c r="C6" s="27">
        <v>2154.38</v>
      </c>
      <c r="D6" s="27">
        <v>2271.4499999999998</v>
      </c>
      <c r="E6" s="27">
        <v>2321.08</v>
      </c>
      <c r="F6" s="146">
        <f>F7+F8</f>
        <v>3691.38</v>
      </c>
      <c r="G6" s="27">
        <v>2405.87</v>
      </c>
      <c r="H6" s="27">
        <v>3092.23</v>
      </c>
    </row>
    <row r="7" spans="1:8" x14ac:dyDescent="0.3">
      <c r="A7" s="111" t="s">
        <v>343</v>
      </c>
      <c r="B7" s="28" t="s">
        <v>289</v>
      </c>
      <c r="C7" s="27">
        <v>1202.6300000000001</v>
      </c>
      <c r="D7" s="27">
        <v>1600.62</v>
      </c>
      <c r="E7" s="27">
        <v>1295.69</v>
      </c>
      <c r="F7" s="27">
        <v>1590.86</v>
      </c>
      <c r="G7" s="27">
        <v>1343.02</v>
      </c>
      <c r="H7" s="27">
        <v>1744.6</v>
      </c>
    </row>
    <row r="8" spans="1:8" x14ac:dyDescent="0.3">
      <c r="A8" s="111" t="s">
        <v>344</v>
      </c>
      <c r="B8" s="28" t="s">
        <v>345</v>
      </c>
      <c r="C8" s="27">
        <v>951.75</v>
      </c>
      <c r="D8" s="27">
        <f>D6-D7</f>
        <v>670.82999999999993</v>
      </c>
      <c r="E8" s="27">
        <v>1025.3900000000001</v>
      </c>
      <c r="F8" s="27">
        <v>2100.52</v>
      </c>
      <c r="G8" s="27">
        <v>1062.8499999999999</v>
      </c>
      <c r="H8" s="27">
        <f>H6-H7</f>
        <v>1347.63</v>
      </c>
    </row>
    <row r="9" spans="1:8" ht="38.4" customHeight="1" x14ac:dyDescent="0.3">
      <c r="A9" s="111" t="s">
        <v>347</v>
      </c>
      <c r="B9" s="28" t="s">
        <v>346</v>
      </c>
      <c r="C9" s="27">
        <v>0</v>
      </c>
      <c r="D9" s="27">
        <v>317.75</v>
      </c>
      <c r="E9" s="27">
        <v>0</v>
      </c>
      <c r="F9" s="27">
        <v>1690.28</v>
      </c>
      <c r="G9" s="27">
        <v>0</v>
      </c>
      <c r="H9" s="27">
        <v>757.31</v>
      </c>
    </row>
    <row r="10" spans="1:8" x14ac:dyDescent="0.3">
      <c r="A10" s="114" t="s">
        <v>348</v>
      </c>
      <c r="B10" s="41" t="s">
        <v>212</v>
      </c>
      <c r="C10" s="109">
        <v>28088.3</v>
      </c>
      <c r="D10" s="41">
        <v>27380.42</v>
      </c>
      <c r="E10" s="109">
        <v>30261.72</v>
      </c>
      <c r="F10" s="173">
        <v>32421.33</v>
      </c>
      <c r="G10" s="41">
        <v>31367.18</v>
      </c>
      <c r="H10" s="41">
        <v>35221.279999999999</v>
      </c>
    </row>
    <row r="11" spans="1:8" ht="22.8" customHeight="1" x14ac:dyDescent="0.3">
      <c r="A11" s="114" t="s">
        <v>349</v>
      </c>
      <c r="B11" s="41" t="s">
        <v>213</v>
      </c>
      <c r="C11" s="41">
        <v>3620.23</v>
      </c>
      <c r="D11" s="41">
        <f>D12+D13</f>
        <v>4853.1200000000008</v>
      </c>
      <c r="E11" s="41">
        <v>3900.35</v>
      </c>
      <c r="F11" s="41">
        <f>F12+F13</f>
        <v>4806.1900000000005</v>
      </c>
      <c r="G11" s="41">
        <v>4042.83</v>
      </c>
      <c r="H11" s="41">
        <f>H12+H13</f>
        <v>5161.4399999999996</v>
      </c>
    </row>
    <row r="12" spans="1:8" x14ac:dyDescent="0.3">
      <c r="A12" s="116" t="s">
        <v>350</v>
      </c>
      <c r="B12" s="28" t="s">
        <v>351</v>
      </c>
      <c r="C12" s="105">
        <v>2057.3000000000002</v>
      </c>
      <c r="D12" s="27">
        <v>2051.5500000000002</v>
      </c>
      <c r="E12" s="105">
        <v>2216.44</v>
      </c>
      <c r="F12" s="27">
        <v>1846.34</v>
      </c>
      <c r="G12" s="27">
        <v>2297.41</v>
      </c>
      <c r="H12" s="27">
        <v>968.28</v>
      </c>
    </row>
    <row r="13" spans="1:8" ht="28.8" x14ac:dyDescent="0.3">
      <c r="A13" s="116" t="s">
        <v>352</v>
      </c>
      <c r="B13" s="28" t="s">
        <v>353</v>
      </c>
      <c r="C13" s="27">
        <v>1562.97</v>
      </c>
      <c r="D13" s="27">
        <v>2801.57</v>
      </c>
      <c r="E13" s="27">
        <v>1683.91</v>
      </c>
      <c r="F13" s="27">
        <f>F14+F15+F16+F17+F18+F19+F20+F21+F22+F23+F25+F26+F24+F27+F28+F29</f>
        <v>2959.8500000000004</v>
      </c>
      <c r="G13" s="27">
        <v>1745.43</v>
      </c>
      <c r="H13" s="27">
        <f>H14+H15+H16+H17+H18+H19+H20+H21+H22+H23+H25+H26+H24+H27+H28+H29</f>
        <v>4193.16</v>
      </c>
    </row>
    <row r="14" spans="1:8" x14ac:dyDescent="0.3">
      <c r="A14" s="111" t="s">
        <v>354</v>
      </c>
      <c r="B14" s="27" t="s">
        <v>94</v>
      </c>
      <c r="C14" s="27">
        <v>213.65</v>
      </c>
      <c r="D14" s="27">
        <v>391.9</v>
      </c>
      <c r="E14" s="27">
        <v>230.18</v>
      </c>
      <c r="F14" s="27">
        <v>389.29</v>
      </c>
      <c r="G14" s="27">
        <v>238.59</v>
      </c>
      <c r="H14" s="27">
        <v>398.87</v>
      </c>
    </row>
    <row r="15" spans="1:8" ht="28.8" x14ac:dyDescent="0.3">
      <c r="A15" s="112" t="s">
        <v>368</v>
      </c>
      <c r="B15" s="28" t="s">
        <v>355</v>
      </c>
      <c r="C15" s="105">
        <v>207.9</v>
      </c>
      <c r="D15" s="27">
        <v>208.9</v>
      </c>
      <c r="E15" s="105">
        <v>223.99</v>
      </c>
      <c r="F15" s="27">
        <v>211.3</v>
      </c>
      <c r="G15" s="27">
        <v>232.17</v>
      </c>
      <c r="H15" s="27">
        <v>232.89</v>
      </c>
    </row>
    <row r="16" spans="1:8" ht="28.8" customHeight="1" x14ac:dyDescent="0.3">
      <c r="A16" s="112" t="s">
        <v>369</v>
      </c>
      <c r="B16" s="28" t="s">
        <v>356</v>
      </c>
      <c r="C16" s="27">
        <v>68.66</v>
      </c>
      <c r="D16" s="27">
        <v>59.98</v>
      </c>
      <c r="E16" s="27">
        <v>73.97</v>
      </c>
      <c r="F16" s="27">
        <f>29.64+9.3+11.4</f>
        <v>50.339999999999996</v>
      </c>
      <c r="G16" s="27">
        <v>76.67</v>
      </c>
      <c r="H16" s="27">
        <f>9.41+13.34+25.24</f>
        <v>47.989999999999995</v>
      </c>
    </row>
    <row r="17" spans="1:8" ht="16.5" customHeight="1" x14ac:dyDescent="0.3">
      <c r="A17" s="112" t="s">
        <v>370</v>
      </c>
      <c r="B17" s="28" t="s">
        <v>357</v>
      </c>
      <c r="C17" s="105">
        <v>125</v>
      </c>
      <c r="D17" s="27">
        <v>66</v>
      </c>
      <c r="E17" s="105">
        <v>134.66999999999999</v>
      </c>
      <c r="F17" s="27"/>
      <c r="G17" s="27">
        <v>139.59</v>
      </c>
      <c r="H17" s="27"/>
    </row>
    <row r="18" spans="1:8" ht="16.5" customHeight="1" x14ac:dyDescent="0.3">
      <c r="A18" s="112" t="s">
        <v>371</v>
      </c>
      <c r="B18" s="28" t="s">
        <v>310</v>
      </c>
      <c r="C18" s="27">
        <v>245.18</v>
      </c>
      <c r="D18" s="27">
        <v>325.2</v>
      </c>
      <c r="E18" s="27">
        <v>264.14999999999998</v>
      </c>
      <c r="F18" s="27">
        <v>411.23</v>
      </c>
      <c r="G18" s="27">
        <v>273.8</v>
      </c>
      <c r="H18" s="27">
        <v>357.95</v>
      </c>
    </row>
    <row r="19" spans="1:8" x14ac:dyDescent="0.3">
      <c r="A19" s="112" t="s">
        <v>372</v>
      </c>
      <c r="B19" s="28" t="s">
        <v>358</v>
      </c>
      <c r="C19" s="27">
        <v>0</v>
      </c>
      <c r="D19" s="27">
        <v>32.630000000000003</v>
      </c>
      <c r="E19" s="27">
        <v>0</v>
      </c>
      <c r="F19" s="27"/>
      <c r="G19" s="27"/>
      <c r="H19" s="27"/>
    </row>
    <row r="20" spans="1:8" x14ac:dyDescent="0.3">
      <c r="A20" s="112" t="s">
        <v>373</v>
      </c>
      <c r="B20" s="28" t="s">
        <v>359</v>
      </c>
      <c r="C20" s="27">
        <v>0</v>
      </c>
      <c r="D20" s="27"/>
      <c r="E20" s="27">
        <v>0</v>
      </c>
      <c r="F20" s="27"/>
      <c r="G20" s="27"/>
      <c r="H20" s="27"/>
    </row>
    <row r="21" spans="1:8" x14ac:dyDescent="0.3">
      <c r="A21" s="112" t="s">
        <v>374</v>
      </c>
      <c r="B21" s="28" t="s">
        <v>360</v>
      </c>
      <c r="C21" s="27">
        <v>0</v>
      </c>
      <c r="D21" s="27"/>
      <c r="E21" s="27">
        <v>0</v>
      </c>
      <c r="F21" s="27"/>
      <c r="G21" s="27"/>
      <c r="H21" s="27"/>
    </row>
    <row r="22" spans="1:8" x14ac:dyDescent="0.3">
      <c r="A22" s="112" t="s">
        <v>375</v>
      </c>
      <c r="B22" s="28" t="s">
        <v>361</v>
      </c>
      <c r="C22" s="27">
        <v>0</v>
      </c>
      <c r="D22" s="27"/>
      <c r="E22" s="27">
        <v>0</v>
      </c>
      <c r="F22" s="27"/>
      <c r="G22" s="27"/>
      <c r="H22" s="27"/>
    </row>
    <row r="23" spans="1:8" ht="27" customHeight="1" x14ac:dyDescent="0.3">
      <c r="A23" s="112" t="s">
        <v>376</v>
      </c>
      <c r="B23" s="74" t="s">
        <v>363</v>
      </c>
      <c r="C23" s="27">
        <v>0</v>
      </c>
      <c r="D23" s="27"/>
      <c r="E23" s="27">
        <v>0</v>
      </c>
      <c r="F23" s="27"/>
      <c r="G23" s="27"/>
      <c r="H23" s="27"/>
    </row>
    <row r="24" spans="1:8" ht="28.8" x14ac:dyDescent="0.3">
      <c r="A24" s="112" t="s">
        <v>377</v>
      </c>
      <c r="B24" s="28" t="s">
        <v>362</v>
      </c>
      <c r="C24" s="27">
        <v>129.13999999999999</v>
      </c>
      <c r="D24" s="27">
        <v>544.87</v>
      </c>
      <c r="E24" s="27">
        <v>139.13</v>
      </c>
      <c r="F24" s="27">
        <f>160.13+63.53</f>
        <v>223.66</v>
      </c>
      <c r="G24" s="27">
        <v>144.21</v>
      </c>
      <c r="H24" s="27">
        <v>282.33</v>
      </c>
    </row>
    <row r="25" spans="1:8" x14ac:dyDescent="0.3">
      <c r="A25" s="112" t="s">
        <v>378</v>
      </c>
      <c r="B25" s="106" t="s">
        <v>364</v>
      </c>
      <c r="C25" s="27">
        <v>126</v>
      </c>
      <c r="D25" s="27">
        <v>250.1</v>
      </c>
      <c r="E25" s="27">
        <v>135.75</v>
      </c>
      <c r="F25" s="27">
        <v>223.03</v>
      </c>
      <c r="G25" s="27">
        <v>140.71</v>
      </c>
      <c r="H25" s="27">
        <v>74</v>
      </c>
    </row>
    <row r="26" spans="1:8" x14ac:dyDescent="0.3">
      <c r="A26" s="112" t="s">
        <v>379</v>
      </c>
      <c r="B26" s="106" t="s">
        <v>365</v>
      </c>
      <c r="C26" s="27">
        <v>40</v>
      </c>
      <c r="D26" s="27">
        <v>51.63</v>
      </c>
      <c r="E26" s="27">
        <v>43.1</v>
      </c>
      <c r="F26" s="27">
        <v>56.39</v>
      </c>
      <c r="G26" s="27">
        <v>44.67</v>
      </c>
      <c r="H26" s="27">
        <v>54.75</v>
      </c>
    </row>
    <row r="27" spans="1:8" x14ac:dyDescent="0.3">
      <c r="A27" s="112" t="s">
        <v>380</v>
      </c>
      <c r="B27" s="28" t="s">
        <v>366</v>
      </c>
      <c r="C27" s="27">
        <v>0</v>
      </c>
      <c r="D27" s="27"/>
      <c r="E27" s="27">
        <v>0</v>
      </c>
      <c r="F27" s="27"/>
      <c r="G27" s="27"/>
      <c r="H27" s="27"/>
    </row>
    <row r="28" spans="1:8" ht="13.95" customHeight="1" x14ac:dyDescent="0.3">
      <c r="A28" s="112" t="s">
        <v>381</v>
      </c>
      <c r="B28" s="28" t="s">
        <v>367</v>
      </c>
      <c r="C28" s="27">
        <v>0</v>
      </c>
      <c r="D28" s="27"/>
      <c r="E28" s="27">
        <v>0</v>
      </c>
      <c r="F28" s="27"/>
      <c r="G28" s="27"/>
      <c r="H28" s="27"/>
    </row>
    <row r="29" spans="1:8" ht="13.95" customHeight="1" x14ac:dyDescent="0.3">
      <c r="A29" s="112" t="s">
        <v>382</v>
      </c>
      <c r="B29" s="28" t="s">
        <v>214</v>
      </c>
      <c r="C29" s="29">
        <v>407.45</v>
      </c>
      <c r="D29" s="27">
        <v>870.36</v>
      </c>
      <c r="E29" s="136">
        <v>438.98</v>
      </c>
      <c r="F29" s="27">
        <v>1394.61</v>
      </c>
      <c r="G29" s="27">
        <v>455.02</v>
      </c>
      <c r="H29" s="27">
        <v>2744.38</v>
      </c>
    </row>
    <row r="30" spans="1:8" ht="13.95" customHeight="1" x14ac:dyDescent="0.3">
      <c r="A30" s="117" t="s">
        <v>284</v>
      </c>
      <c r="B30" s="119" t="s">
        <v>383</v>
      </c>
      <c r="C30" s="109">
        <v>53.4</v>
      </c>
      <c r="D30" s="41">
        <v>51.2</v>
      </c>
      <c r="E30" s="109">
        <v>57.5</v>
      </c>
      <c r="F30" s="109">
        <f>F31+F34</f>
        <v>54.839999999999996</v>
      </c>
      <c r="G30" s="41">
        <v>59.6</v>
      </c>
      <c r="H30" s="41">
        <f>H31</f>
        <v>55.8</v>
      </c>
    </row>
    <row r="31" spans="1:8" ht="13.95" customHeight="1" x14ac:dyDescent="0.3">
      <c r="A31" s="112" t="s">
        <v>388</v>
      </c>
      <c r="B31" s="28" t="s">
        <v>384</v>
      </c>
      <c r="C31" s="105">
        <v>53.4</v>
      </c>
      <c r="D31" s="27">
        <v>51.2</v>
      </c>
      <c r="E31" s="105">
        <v>57.5</v>
      </c>
      <c r="F31" s="105">
        <v>49.3</v>
      </c>
      <c r="G31" s="27">
        <v>59.6</v>
      </c>
      <c r="H31" s="27">
        <v>55.8</v>
      </c>
    </row>
    <row r="32" spans="1:8" ht="13.95" customHeight="1" x14ac:dyDescent="0.3">
      <c r="A32" s="112" t="s">
        <v>389</v>
      </c>
      <c r="B32" s="28" t="s">
        <v>385</v>
      </c>
      <c r="C32" s="105">
        <v>0</v>
      </c>
      <c r="D32" s="27"/>
      <c r="E32" s="105">
        <v>0</v>
      </c>
      <c r="F32" s="27"/>
      <c r="G32" s="27"/>
      <c r="H32" s="27"/>
    </row>
    <row r="33" spans="1:14" ht="24.6" customHeight="1" x14ac:dyDescent="0.3">
      <c r="A33" s="112" t="s">
        <v>390</v>
      </c>
      <c r="B33" s="28" t="s">
        <v>386</v>
      </c>
      <c r="C33" s="105">
        <v>0</v>
      </c>
      <c r="D33" s="27"/>
      <c r="E33" s="105">
        <v>0</v>
      </c>
      <c r="F33" s="27"/>
      <c r="G33" s="27"/>
      <c r="H33" s="27"/>
    </row>
    <row r="34" spans="1:14" ht="16.2" customHeight="1" x14ac:dyDescent="0.3">
      <c r="A34" s="112" t="s">
        <v>391</v>
      </c>
      <c r="B34" s="28" t="s">
        <v>387</v>
      </c>
      <c r="C34" s="105">
        <v>0</v>
      </c>
      <c r="D34" s="27"/>
      <c r="E34" s="105">
        <v>0</v>
      </c>
      <c r="F34" s="27">
        <v>5.54</v>
      </c>
      <c r="G34" s="27"/>
      <c r="H34" s="27"/>
    </row>
    <row r="35" spans="1:14" ht="30.6" customHeight="1" x14ac:dyDescent="0.3">
      <c r="A35" s="118" t="s">
        <v>392</v>
      </c>
      <c r="B35" s="119" t="s">
        <v>393</v>
      </c>
      <c r="C35" s="109">
        <v>142.22999999999999</v>
      </c>
      <c r="D35" s="41">
        <v>68.400000000000006</v>
      </c>
      <c r="E35" s="109">
        <v>153.22999999999999</v>
      </c>
      <c r="F35" s="41">
        <v>43</v>
      </c>
      <c r="G35" s="41">
        <v>158.83000000000001</v>
      </c>
      <c r="H35" s="41">
        <f>H37+H39</f>
        <v>287.87</v>
      </c>
    </row>
    <row r="36" spans="1:14" x14ac:dyDescent="0.3">
      <c r="A36" s="112" t="s">
        <v>398</v>
      </c>
      <c r="B36" s="28" t="s">
        <v>394</v>
      </c>
      <c r="C36" s="105">
        <v>0</v>
      </c>
      <c r="D36" s="27"/>
      <c r="E36" s="105">
        <v>0</v>
      </c>
      <c r="F36" s="27"/>
      <c r="G36" s="27"/>
      <c r="H36" s="27"/>
    </row>
    <row r="37" spans="1:14" ht="22.8" customHeight="1" x14ac:dyDescent="0.3">
      <c r="A37" s="112" t="s">
        <v>399</v>
      </c>
      <c r="B37" s="74" t="s">
        <v>395</v>
      </c>
      <c r="C37" s="105">
        <v>142.22999999999999</v>
      </c>
      <c r="D37" s="27">
        <v>68.400000000000006</v>
      </c>
      <c r="E37" s="105">
        <v>153.22999999999999</v>
      </c>
      <c r="F37" s="27">
        <v>43</v>
      </c>
      <c r="G37" s="27">
        <v>158.83000000000001</v>
      </c>
      <c r="H37" s="27">
        <v>114.55</v>
      </c>
    </row>
    <row r="38" spans="1:14" ht="16.05" customHeight="1" x14ac:dyDescent="0.3">
      <c r="A38" s="112" t="s">
        <v>400</v>
      </c>
      <c r="B38" s="28" t="s">
        <v>396</v>
      </c>
      <c r="C38" s="105">
        <v>0</v>
      </c>
      <c r="D38" s="27"/>
      <c r="E38" s="105">
        <v>0</v>
      </c>
      <c r="F38" s="27"/>
      <c r="G38" s="27"/>
      <c r="H38" s="27"/>
    </row>
    <row r="39" spans="1:14" x14ac:dyDescent="0.3">
      <c r="A39" s="112" t="s">
        <v>401</v>
      </c>
      <c r="B39" s="28" t="s">
        <v>397</v>
      </c>
      <c r="C39" s="105">
        <v>0</v>
      </c>
      <c r="D39" s="27"/>
      <c r="E39" s="105">
        <v>0</v>
      </c>
      <c r="F39" s="27"/>
      <c r="G39" s="27"/>
      <c r="H39" s="27">
        <v>173.32</v>
      </c>
      <c r="I39" s="37"/>
      <c r="J39" s="37"/>
      <c r="K39" s="37"/>
      <c r="L39" s="37"/>
      <c r="M39" s="37"/>
      <c r="N39" s="37"/>
    </row>
    <row r="40" spans="1:14" ht="27" x14ac:dyDescent="0.3">
      <c r="A40" s="112"/>
      <c r="B40" s="34" t="s">
        <v>215</v>
      </c>
      <c r="C40" s="109">
        <f t="shared" ref="C40:H40" si="0">C5+C10+C11+C30+C35</f>
        <v>34058.540000000008</v>
      </c>
      <c r="D40" s="109">
        <f t="shared" si="0"/>
        <v>34942.339999999997</v>
      </c>
      <c r="E40" s="109">
        <f t="shared" si="0"/>
        <v>36693.880000000005</v>
      </c>
      <c r="F40" s="109">
        <f t="shared" si="0"/>
        <v>42707.020000000004</v>
      </c>
      <c r="G40" s="109">
        <f t="shared" si="0"/>
        <v>38034.310000000005</v>
      </c>
      <c r="H40" s="109">
        <f t="shared" si="0"/>
        <v>44575.930000000008</v>
      </c>
      <c r="I40" s="37"/>
      <c r="J40" s="37"/>
      <c r="K40" s="37"/>
      <c r="L40" s="37"/>
      <c r="M40" s="37"/>
      <c r="N40" s="37"/>
    </row>
    <row r="41" spans="1:14" x14ac:dyDescent="0.3">
      <c r="A41" s="113"/>
      <c r="B41" s="107"/>
      <c r="C41" s="107"/>
      <c r="D41" s="107"/>
      <c r="E41" s="108"/>
      <c r="I41" s="37"/>
      <c r="J41" s="37"/>
      <c r="K41" s="37"/>
      <c r="L41" s="37"/>
      <c r="M41" s="37"/>
      <c r="N41" s="37"/>
    </row>
    <row r="42" spans="1:14" x14ac:dyDescent="0.3">
      <c r="A42" s="113"/>
      <c r="B42" s="107"/>
      <c r="C42" s="107"/>
      <c r="D42" s="107"/>
      <c r="E42" s="108"/>
    </row>
    <row r="43" spans="1:14" ht="28.95" customHeight="1" x14ac:dyDescent="0.3">
      <c r="A43" s="112"/>
      <c r="B43" s="120" t="s">
        <v>216</v>
      </c>
      <c r="C43" s="27" t="s">
        <v>339</v>
      </c>
      <c r="D43" s="28" t="s">
        <v>438</v>
      </c>
      <c r="E43" s="27" t="s">
        <v>329</v>
      </c>
      <c r="F43" s="28" t="s">
        <v>467</v>
      </c>
      <c r="G43" s="27" t="s">
        <v>480</v>
      </c>
      <c r="H43" s="28" t="s">
        <v>481</v>
      </c>
    </row>
    <row r="44" spans="1:14" x14ac:dyDescent="0.3">
      <c r="A44" s="27" t="s">
        <v>210</v>
      </c>
      <c r="B44" s="27" t="s">
        <v>87</v>
      </c>
      <c r="C44" s="27"/>
      <c r="D44" s="27"/>
      <c r="E44" s="27"/>
      <c r="F44" s="27"/>
      <c r="G44" s="27"/>
      <c r="H44" s="27"/>
    </row>
    <row r="45" spans="1:14" x14ac:dyDescent="0.3">
      <c r="A45" s="112" t="s">
        <v>402</v>
      </c>
      <c r="B45" s="121" t="s">
        <v>403</v>
      </c>
      <c r="C45" s="27">
        <v>5528.72</v>
      </c>
      <c r="D45" s="27">
        <v>9074.0499999999993</v>
      </c>
      <c r="E45" s="27">
        <v>9557.8700000000008</v>
      </c>
      <c r="F45" s="27">
        <v>9197.2800000000007</v>
      </c>
      <c r="G45" s="27">
        <v>9531.9500000000007</v>
      </c>
      <c r="H45" s="27">
        <v>10583.75</v>
      </c>
    </row>
    <row r="46" spans="1:14" x14ac:dyDescent="0.3">
      <c r="A46" s="112" t="s">
        <v>404</v>
      </c>
      <c r="B46" s="28" t="s">
        <v>405</v>
      </c>
      <c r="C46" s="27">
        <v>0</v>
      </c>
      <c r="D46" s="27"/>
      <c r="E46" s="27">
        <v>0</v>
      </c>
      <c r="F46" s="27">
        <v>37.01</v>
      </c>
      <c r="G46" s="27">
        <v>64.2</v>
      </c>
      <c r="H46" s="27">
        <v>49.2</v>
      </c>
    </row>
    <row r="47" spans="1:14" s="37" customFormat="1" x14ac:dyDescent="0.3">
      <c r="A47" s="112" t="s">
        <v>408</v>
      </c>
      <c r="B47" s="28" t="s">
        <v>406</v>
      </c>
      <c r="C47" s="27">
        <v>136.43</v>
      </c>
      <c r="D47" s="27">
        <v>180.35</v>
      </c>
      <c r="E47" s="27">
        <v>203.25</v>
      </c>
      <c r="F47" s="27">
        <v>192.07</v>
      </c>
      <c r="G47" s="27">
        <v>201.81</v>
      </c>
      <c r="H47" s="27">
        <v>191</v>
      </c>
      <c r="I47" s="3"/>
      <c r="J47" s="3"/>
      <c r="K47" s="3"/>
      <c r="L47" s="3"/>
      <c r="M47" s="3"/>
      <c r="N47" s="3"/>
    </row>
    <row r="48" spans="1:14" s="37" customFormat="1" ht="28.8" x14ac:dyDescent="0.3">
      <c r="A48" s="112" t="s">
        <v>409</v>
      </c>
      <c r="B48" s="28" t="s">
        <v>407</v>
      </c>
      <c r="C48" s="27">
        <v>0</v>
      </c>
      <c r="D48" s="27"/>
      <c r="E48" s="27">
        <v>0</v>
      </c>
      <c r="F48" s="27"/>
      <c r="G48" s="27"/>
      <c r="H48" s="27"/>
      <c r="I48" s="3"/>
      <c r="J48" s="3"/>
      <c r="K48" s="3"/>
      <c r="L48" s="3"/>
      <c r="M48" s="3"/>
      <c r="N48" s="3"/>
    </row>
    <row r="49" spans="1:14" s="37" customFormat="1" x14ac:dyDescent="0.3">
      <c r="A49" s="112" t="s">
        <v>410</v>
      </c>
      <c r="B49" s="28" t="s">
        <v>411</v>
      </c>
      <c r="C49" s="27">
        <v>3034.88</v>
      </c>
      <c r="D49" s="27">
        <v>1959.36</v>
      </c>
      <c r="E49" s="27">
        <f>E51+E52+E53</f>
        <v>3545.38</v>
      </c>
      <c r="F49" s="27">
        <f>F51+F52+F53</f>
        <v>2932.9300000000003</v>
      </c>
      <c r="G49" s="27">
        <f t="shared" ref="G49:H49" si="1">G51+G52+G53</f>
        <v>3545.43</v>
      </c>
      <c r="H49" s="27">
        <f t="shared" si="1"/>
        <v>2844</v>
      </c>
      <c r="I49" s="3"/>
      <c r="J49" s="3"/>
      <c r="K49" s="3"/>
      <c r="L49" s="3"/>
      <c r="M49" s="3"/>
      <c r="N49" s="3"/>
    </row>
    <row r="50" spans="1:14" s="37" customFormat="1" x14ac:dyDescent="0.3">
      <c r="A50" s="112" t="s">
        <v>414</v>
      </c>
      <c r="B50" s="28" t="s">
        <v>412</v>
      </c>
      <c r="C50" s="27">
        <v>0</v>
      </c>
      <c r="D50" s="27"/>
      <c r="E50" s="27">
        <v>0</v>
      </c>
      <c r="F50" s="27"/>
      <c r="G50" s="27"/>
      <c r="H50" s="27"/>
      <c r="I50" s="3"/>
      <c r="J50" s="3"/>
      <c r="K50" s="3"/>
      <c r="L50" s="3"/>
      <c r="M50" s="3"/>
      <c r="N50" s="3"/>
    </row>
    <row r="51" spans="1:14" s="37" customFormat="1" x14ac:dyDescent="0.3">
      <c r="A51" s="112" t="s">
        <v>415</v>
      </c>
      <c r="B51" s="28" t="s">
        <v>307</v>
      </c>
      <c r="C51" s="27">
        <v>39.71</v>
      </c>
      <c r="D51" s="27">
        <v>44.93</v>
      </c>
      <c r="E51" s="27">
        <v>45.55</v>
      </c>
      <c r="F51" s="27">
        <v>46.9</v>
      </c>
      <c r="G51" s="27">
        <v>45.6</v>
      </c>
      <c r="H51" s="27">
        <v>52.57</v>
      </c>
      <c r="I51" s="3"/>
      <c r="J51" s="3"/>
      <c r="K51" s="3"/>
      <c r="L51" s="3"/>
      <c r="M51" s="3"/>
      <c r="N51" s="3"/>
    </row>
    <row r="52" spans="1:14" x14ac:dyDescent="0.3">
      <c r="A52" s="112" t="s">
        <v>416</v>
      </c>
      <c r="B52" s="28" t="s">
        <v>413</v>
      </c>
      <c r="C52" s="27">
        <v>0</v>
      </c>
      <c r="D52" s="27">
        <v>33.1</v>
      </c>
      <c r="E52" s="27">
        <v>19.100000000000001</v>
      </c>
      <c r="F52" s="27">
        <v>18.63</v>
      </c>
      <c r="G52" s="27">
        <v>19.100000000000001</v>
      </c>
      <c r="H52" s="27">
        <v>19.43</v>
      </c>
    </row>
    <row r="53" spans="1:14" x14ac:dyDescent="0.3">
      <c r="A53" s="112" t="s">
        <v>417</v>
      </c>
      <c r="B53" s="28" t="s">
        <v>308</v>
      </c>
      <c r="C53" s="27">
        <v>2995.17</v>
      </c>
      <c r="D53" s="27">
        <v>1881.33</v>
      </c>
      <c r="E53" s="27">
        <v>3480.73</v>
      </c>
      <c r="F53" s="27">
        <v>2867.4</v>
      </c>
      <c r="G53" s="27">
        <v>3480.73</v>
      </c>
      <c r="H53" s="27">
        <v>2772</v>
      </c>
    </row>
    <row r="54" spans="1:14" ht="28.8" x14ac:dyDescent="0.3">
      <c r="A54" s="112" t="s">
        <v>418</v>
      </c>
      <c r="B54" s="28" t="s">
        <v>419</v>
      </c>
      <c r="C54" s="27">
        <v>8538.84</v>
      </c>
      <c r="D54" s="27">
        <v>7794</v>
      </c>
      <c r="E54" s="27">
        <v>9199.56</v>
      </c>
      <c r="F54" s="146">
        <v>9289.61</v>
      </c>
      <c r="G54" s="27">
        <v>9535.6200000000008</v>
      </c>
      <c r="H54" s="27">
        <v>10206</v>
      </c>
    </row>
    <row r="55" spans="1:14" ht="28.8" x14ac:dyDescent="0.3">
      <c r="A55" s="112" t="s">
        <v>420</v>
      </c>
      <c r="B55" s="28" t="s">
        <v>217</v>
      </c>
      <c r="C55" s="27"/>
      <c r="D55" s="27"/>
      <c r="E55" s="27"/>
      <c r="F55" s="27"/>
      <c r="G55" s="27"/>
      <c r="H55" s="27"/>
    </row>
    <row r="56" spans="1:14" x14ac:dyDescent="0.3">
      <c r="A56" s="112" t="s">
        <v>427</v>
      </c>
      <c r="B56" s="28" t="s">
        <v>421</v>
      </c>
      <c r="C56" s="27">
        <v>35.6</v>
      </c>
      <c r="D56" s="27"/>
      <c r="E56" s="27">
        <v>1540.51</v>
      </c>
      <c r="F56" s="27"/>
      <c r="G56" s="27">
        <v>1705.66</v>
      </c>
      <c r="H56" s="27"/>
    </row>
    <row r="57" spans="1:14" ht="28.8" x14ac:dyDescent="0.3">
      <c r="A57" s="112" t="s">
        <v>428</v>
      </c>
      <c r="B57" s="28" t="s">
        <v>439</v>
      </c>
      <c r="C57" s="27">
        <v>1755.42</v>
      </c>
      <c r="D57" s="27"/>
      <c r="E57" s="27">
        <v>1849.82</v>
      </c>
      <c r="F57" s="27"/>
      <c r="G57" s="27"/>
      <c r="H57" s="27"/>
    </row>
    <row r="58" spans="1:14" x14ac:dyDescent="0.3">
      <c r="A58" s="112" t="s">
        <v>429</v>
      </c>
      <c r="B58" s="28" t="s">
        <v>422</v>
      </c>
      <c r="C58" s="27">
        <v>10947.46</v>
      </c>
      <c r="D58" s="27">
        <v>4680</v>
      </c>
      <c r="E58" s="27">
        <v>10947.46</v>
      </c>
      <c r="F58" s="27">
        <v>5891.47</v>
      </c>
      <c r="G58" s="27">
        <v>10947.46</v>
      </c>
      <c r="H58" s="27">
        <v>6037.55</v>
      </c>
    </row>
    <row r="59" spans="1:14" ht="28.8" x14ac:dyDescent="0.3">
      <c r="A59" s="112" t="s">
        <v>430</v>
      </c>
      <c r="B59" s="28" t="s">
        <v>423</v>
      </c>
      <c r="C59" s="27">
        <v>0</v>
      </c>
      <c r="D59" s="27"/>
      <c r="E59" s="27">
        <v>0</v>
      </c>
      <c r="F59" s="27"/>
      <c r="G59" s="27"/>
      <c r="H59" s="27"/>
    </row>
    <row r="60" spans="1:14" ht="28.8" x14ac:dyDescent="0.3">
      <c r="A60" s="112" t="s">
        <v>431</v>
      </c>
      <c r="B60" s="28" t="s">
        <v>424</v>
      </c>
      <c r="C60" s="27">
        <v>10947.46</v>
      </c>
      <c r="D60" s="27">
        <v>4680</v>
      </c>
      <c r="E60" s="27">
        <v>10947.46</v>
      </c>
      <c r="F60" s="27">
        <v>5891.47</v>
      </c>
      <c r="G60" s="27">
        <v>10947.46</v>
      </c>
      <c r="H60" s="27">
        <v>6037.55</v>
      </c>
    </row>
    <row r="61" spans="1:14" x14ac:dyDescent="0.3">
      <c r="A61" s="112" t="s">
        <v>432</v>
      </c>
      <c r="B61" s="28" t="s">
        <v>425</v>
      </c>
      <c r="C61" s="27">
        <v>0</v>
      </c>
      <c r="D61" s="27"/>
      <c r="E61" s="27">
        <v>0</v>
      </c>
      <c r="F61" s="27"/>
      <c r="G61" s="27"/>
      <c r="H61" s="27"/>
    </row>
    <row r="62" spans="1:14" x14ac:dyDescent="0.3">
      <c r="A62" s="112" t="s">
        <v>433</v>
      </c>
      <c r="B62" s="28" t="s">
        <v>426</v>
      </c>
      <c r="C62" s="27">
        <v>0</v>
      </c>
      <c r="D62" s="27"/>
      <c r="E62" s="27">
        <v>6008.8</v>
      </c>
      <c r="F62" s="27"/>
      <c r="G62" s="27">
        <v>6663.8</v>
      </c>
      <c r="H62" s="27">
        <v>571.20000000000005</v>
      </c>
    </row>
    <row r="63" spans="1:14" ht="27" x14ac:dyDescent="0.3">
      <c r="A63" s="112"/>
      <c r="B63" s="34" t="s">
        <v>219</v>
      </c>
      <c r="C63" s="41">
        <f>C45+C46+C47+C48+C49+C54+C56+C57+C58+C61+C62</f>
        <v>29977.35</v>
      </c>
      <c r="D63" s="41">
        <f>D45+D46+D47+D48+D49+D54+D56+D57+D58+D61+D62</f>
        <v>23687.760000000002</v>
      </c>
      <c r="E63" s="41">
        <f>E45+E46+E47+E48+E49+E54+E56+E57+E58+E61+E62</f>
        <v>42852.649999999994</v>
      </c>
      <c r="F63" s="41">
        <f>F45+F46+F47+F48+F49+F54+F56+F57+F58+F61+F62</f>
        <v>27540.370000000003</v>
      </c>
      <c r="G63" s="41">
        <f t="shared" ref="G63:H63" si="2">G45+G46+G47+G48+G49+G54+G56+G57+G58+G61+G62</f>
        <v>42195.930000000008</v>
      </c>
      <c r="H63" s="41">
        <f t="shared" si="2"/>
        <v>30482.7</v>
      </c>
      <c r="I63" s="37"/>
      <c r="J63" s="37"/>
      <c r="K63" s="37"/>
      <c r="L63" s="37"/>
      <c r="M63" s="37"/>
      <c r="N63" s="37"/>
    </row>
    <row r="64" spans="1:14" x14ac:dyDescent="0.3">
      <c r="A64" s="113"/>
      <c r="B64" s="107"/>
      <c r="C64" s="107"/>
      <c r="D64" s="107"/>
      <c r="E64" s="71"/>
      <c r="I64" s="37"/>
      <c r="J64" s="37"/>
      <c r="K64" s="37"/>
      <c r="L64" s="37"/>
      <c r="M64" s="37"/>
      <c r="N64" s="37"/>
    </row>
    <row r="65" spans="1:14" x14ac:dyDescent="0.3">
      <c r="A65" s="249" t="s">
        <v>434</v>
      </c>
      <c r="B65" s="250"/>
      <c r="C65" s="250"/>
      <c r="D65" s="250"/>
      <c r="E65" s="250"/>
    </row>
    <row r="66" spans="1:14" ht="43.2" x14ac:dyDescent="0.3">
      <c r="A66" s="112" t="s">
        <v>435</v>
      </c>
      <c r="B66" s="28" t="s">
        <v>434</v>
      </c>
      <c r="C66" s="27">
        <v>696.75</v>
      </c>
      <c r="D66" s="27"/>
      <c r="E66" s="27"/>
      <c r="F66" s="27">
        <v>10676.78</v>
      </c>
      <c r="G66" s="27">
        <v>-4436.53</v>
      </c>
      <c r="H66" s="27">
        <v>10655.97</v>
      </c>
    </row>
    <row r="67" spans="1:14" ht="43.2" x14ac:dyDescent="0.3">
      <c r="A67" s="112" t="s">
        <v>436</v>
      </c>
      <c r="B67" s="28" t="s">
        <v>495</v>
      </c>
      <c r="C67" s="27"/>
      <c r="D67" s="27"/>
      <c r="E67" s="27"/>
      <c r="F67" s="27"/>
      <c r="G67" s="27">
        <v>-1941.98</v>
      </c>
      <c r="H67" s="27"/>
    </row>
    <row r="68" spans="1:14" ht="31.2" x14ac:dyDescent="0.3">
      <c r="A68" s="112" t="s">
        <v>473</v>
      </c>
      <c r="B68" s="122" t="s">
        <v>437</v>
      </c>
      <c r="C68" s="109">
        <f>C40+C63+C66</f>
        <v>64732.640000000007</v>
      </c>
      <c r="D68" s="109">
        <f>D40+D63+D66</f>
        <v>58630.1</v>
      </c>
      <c r="E68" s="109">
        <f>E40+E63+E66</f>
        <v>79546.53</v>
      </c>
      <c r="F68" s="109">
        <f>F40+F63+F66</f>
        <v>80924.170000000013</v>
      </c>
      <c r="G68" s="109">
        <f>G63+G40+G66+G67</f>
        <v>73851.730000000025</v>
      </c>
      <c r="H68" s="109">
        <f>H63+H40+H66+H67</f>
        <v>85714.6</v>
      </c>
    </row>
    <row r="70" spans="1:14" ht="12" customHeight="1" x14ac:dyDescent="0.3"/>
    <row r="71" spans="1:14" ht="15" customHeight="1" x14ac:dyDescent="0.3">
      <c r="A71" s="45" t="s">
        <v>0</v>
      </c>
      <c r="B71" s="182"/>
      <c r="C71" s="45" t="s">
        <v>285</v>
      </c>
      <c r="D71" s="45"/>
    </row>
    <row r="75" spans="1:14" s="37" customFormat="1" x14ac:dyDescent="0.3">
      <c r="A75" s="3"/>
      <c r="B75" s="3"/>
      <c r="C75" s="3"/>
      <c r="D75" s="3"/>
      <c r="E75" s="3"/>
      <c r="I75" s="3"/>
      <c r="J75" s="3"/>
      <c r="K75" s="3"/>
      <c r="L75" s="3"/>
      <c r="M75" s="3"/>
      <c r="N75" s="3"/>
    </row>
    <row r="76" spans="1:14" s="37" customFormat="1" ht="27.45" customHeight="1" x14ac:dyDescent="0.3">
      <c r="A76" s="3"/>
      <c r="B76" s="3"/>
      <c r="C76" s="3"/>
      <c r="D76" s="3"/>
      <c r="E76" s="3"/>
      <c r="I76" s="3"/>
      <c r="J76" s="3"/>
      <c r="K76" s="3"/>
      <c r="L76" s="3"/>
      <c r="M76" s="3"/>
      <c r="N76" s="3"/>
    </row>
  </sheetData>
  <mergeCells count="1">
    <mergeCell ref="A65:E65"/>
  </mergeCells>
  <pageMargins left="0.51181102362204722" right="0" top="0.35433070866141736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C20"/>
    </sheetView>
  </sheetViews>
  <sheetFormatPr defaultRowHeight="14.4" x14ac:dyDescent="0.3"/>
  <cols>
    <col min="1" max="1" width="47.33203125" customWidth="1"/>
    <col min="2" max="2" width="12.33203125" customWidth="1"/>
  </cols>
  <sheetData>
    <row r="1" spans="1:10" ht="18" x14ac:dyDescent="0.35">
      <c r="A1" s="194" t="s">
        <v>330</v>
      </c>
      <c r="B1" s="194"/>
      <c r="C1" s="194"/>
      <c r="D1" s="110"/>
      <c r="E1" s="110"/>
      <c r="F1" s="110"/>
      <c r="G1" s="110"/>
      <c r="H1" s="110"/>
      <c r="I1" s="110"/>
      <c r="J1" s="110"/>
    </row>
    <row r="2" spans="1:10" x14ac:dyDescent="0.3">
      <c r="A2" s="234" t="s">
        <v>331</v>
      </c>
      <c r="B2" s="234"/>
      <c r="C2" s="234"/>
      <c r="D2" s="102"/>
      <c r="E2" s="102"/>
      <c r="F2" s="102"/>
      <c r="G2" s="102"/>
      <c r="H2" s="102"/>
      <c r="I2" s="102"/>
      <c r="J2" s="102"/>
    </row>
    <row r="3" spans="1:10" x14ac:dyDescent="0.3">
      <c r="A3" s="234" t="s">
        <v>488</v>
      </c>
      <c r="B3" s="234"/>
      <c r="C3" s="234"/>
    </row>
    <row r="5" spans="1:10" x14ac:dyDescent="0.3">
      <c r="C5" t="s">
        <v>151</v>
      </c>
    </row>
    <row r="7" spans="1:10" x14ac:dyDescent="0.3">
      <c r="A7" s="2" t="s">
        <v>468</v>
      </c>
      <c r="B7" s="2">
        <v>74443547.120000005</v>
      </c>
      <c r="C7" s="2" t="s">
        <v>122</v>
      </c>
    </row>
    <row r="8" spans="1:10" x14ac:dyDescent="0.3">
      <c r="A8" s="2" t="s">
        <v>332</v>
      </c>
      <c r="B8" s="2"/>
      <c r="C8" s="2"/>
    </row>
    <row r="9" spans="1:10" x14ac:dyDescent="0.3">
      <c r="A9" s="2" t="s">
        <v>250</v>
      </c>
      <c r="B9" s="2">
        <v>70452452.780000001</v>
      </c>
      <c r="C9" s="43">
        <f>B9/B7%</f>
        <v>94.638763876247708</v>
      </c>
    </row>
    <row r="10" spans="1:10" x14ac:dyDescent="0.3">
      <c r="A10" s="2" t="s">
        <v>333</v>
      </c>
      <c r="B10" s="27">
        <v>112040.51</v>
      </c>
      <c r="C10" s="43">
        <f>B10/B7%</f>
        <v>0.15050399172865206</v>
      </c>
    </row>
    <row r="11" spans="1:10" x14ac:dyDescent="0.3">
      <c r="A11" s="2" t="s">
        <v>334</v>
      </c>
      <c r="B11" s="27">
        <f>B7-B9-B10</f>
        <v>3879053.8300000038</v>
      </c>
      <c r="C11" s="43">
        <f>B11/B7%</f>
        <v>5.2107321320236464</v>
      </c>
    </row>
    <row r="14" spans="1:10" x14ac:dyDescent="0.3">
      <c r="B14" s="3"/>
    </row>
    <row r="18" spans="1:1" x14ac:dyDescent="0.3">
      <c r="A18" t="s">
        <v>335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sqref="A1:XFD1048576"/>
    </sheetView>
  </sheetViews>
  <sheetFormatPr defaultRowHeight="14.4" x14ac:dyDescent="0.3"/>
  <cols>
    <col min="1" max="1" width="6.44140625" customWidth="1"/>
    <col min="2" max="2" width="44" customWidth="1"/>
    <col min="3" max="3" width="12.109375" customWidth="1"/>
    <col min="4" max="4" width="11.77734375" customWidth="1"/>
    <col min="5" max="5" width="12.21875" customWidth="1"/>
  </cols>
  <sheetData>
    <row r="1" spans="1:5" ht="18" x14ac:dyDescent="0.35">
      <c r="A1" s="194" t="s">
        <v>470</v>
      </c>
      <c r="B1" s="194"/>
      <c r="C1" s="194"/>
      <c r="D1" s="194"/>
      <c r="E1" s="194"/>
    </row>
    <row r="2" spans="1:5" ht="15.6" x14ac:dyDescent="0.3">
      <c r="A2" s="195" t="s">
        <v>522</v>
      </c>
      <c r="B2" s="195"/>
      <c r="C2" s="195"/>
      <c r="D2" s="195"/>
      <c r="E2" s="195"/>
    </row>
    <row r="3" spans="1:5" ht="18" x14ac:dyDescent="0.35">
      <c r="A3" s="195" t="s">
        <v>534</v>
      </c>
      <c r="B3" s="195"/>
      <c r="C3" s="195"/>
      <c r="D3" s="195"/>
      <c r="E3" s="195"/>
    </row>
    <row r="4" spans="1:5" ht="15.6" x14ac:dyDescent="0.3">
      <c r="A4" s="196" t="s">
        <v>90</v>
      </c>
      <c r="B4" s="196"/>
      <c r="C4" s="196"/>
      <c r="D4" s="196"/>
      <c r="E4" s="196"/>
    </row>
    <row r="5" spans="1:5" ht="15.6" x14ac:dyDescent="0.3">
      <c r="A5" s="186"/>
      <c r="B5" s="186"/>
      <c r="C5" s="186"/>
      <c r="D5" s="186"/>
      <c r="E5" s="186" t="s">
        <v>107</v>
      </c>
    </row>
    <row r="6" spans="1:5" ht="43.2" x14ac:dyDescent="0.3">
      <c r="A6" s="2" t="s">
        <v>9</v>
      </c>
      <c r="B6" s="2" t="s">
        <v>523</v>
      </c>
      <c r="C6" s="42" t="s">
        <v>524</v>
      </c>
      <c r="D6" s="42" t="s">
        <v>525</v>
      </c>
      <c r="E6" s="42" t="s">
        <v>526</v>
      </c>
    </row>
    <row r="7" spans="1:5" ht="43.2" x14ac:dyDescent="0.3">
      <c r="A7" s="2">
        <v>1</v>
      </c>
      <c r="B7" s="42" t="s">
        <v>527</v>
      </c>
      <c r="C7" s="2">
        <v>85378.6</v>
      </c>
      <c r="D7" s="2">
        <v>57</v>
      </c>
      <c r="E7" s="43">
        <f>C7*D7</f>
        <v>4866580.2</v>
      </c>
    </row>
    <row r="8" spans="1:5" ht="43.2" x14ac:dyDescent="0.3">
      <c r="A8" s="2">
        <v>2</v>
      </c>
      <c r="B8" s="42" t="s">
        <v>528</v>
      </c>
      <c r="C8" s="2">
        <v>118137.2</v>
      </c>
      <c r="D8" s="2">
        <v>29</v>
      </c>
      <c r="E8" s="43">
        <f t="shared" ref="E8:E13" si="0">C8*D8</f>
        <v>3425978.8</v>
      </c>
    </row>
    <row r="9" spans="1:5" ht="34.799999999999997" customHeight="1" x14ac:dyDescent="0.3">
      <c r="A9" s="2">
        <v>3</v>
      </c>
      <c r="B9" s="42" t="s">
        <v>529</v>
      </c>
      <c r="C9" s="2">
        <v>20633.12</v>
      </c>
      <c r="D9" s="2">
        <v>1596</v>
      </c>
      <c r="E9" s="43">
        <f t="shared" si="0"/>
        <v>32930459.52</v>
      </c>
    </row>
    <row r="10" spans="1:5" ht="28.2" customHeight="1" x14ac:dyDescent="0.3">
      <c r="A10" s="2">
        <v>4</v>
      </c>
      <c r="B10" s="42" t="s">
        <v>530</v>
      </c>
      <c r="C10" s="2">
        <v>15714.88</v>
      </c>
      <c r="D10" s="2">
        <v>1374</v>
      </c>
      <c r="E10" s="43">
        <f t="shared" si="0"/>
        <v>21592245.119999997</v>
      </c>
    </row>
    <row r="11" spans="1:5" ht="43.2" x14ac:dyDescent="0.3">
      <c r="A11" s="2">
        <v>5</v>
      </c>
      <c r="B11" s="42" t="s">
        <v>531</v>
      </c>
      <c r="C11" s="2">
        <v>28956.799999999999</v>
      </c>
      <c r="D11" s="2">
        <v>340</v>
      </c>
      <c r="E11" s="43">
        <f t="shared" si="0"/>
        <v>9845312</v>
      </c>
    </row>
    <row r="12" spans="1:5" ht="43.2" x14ac:dyDescent="0.3">
      <c r="A12" s="2">
        <v>6</v>
      </c>
      <c r="B12" s="42" t="s">
        <v>532</v>
      </c>
      <c r="C12" s="2">
        <v>29813.17</v>
      </c>
      <c r="D12" s="2">
        <v>158</v>
      </c>
      <c r="E12" s="43">
        <f t="shared" si="0"/>
        <v>4710480.8599999994</v>
      </c>
    </row>
    <row r="13" spans="1:5" ht="43.2" x14ac:dyDescent="0.3">
      <c r="A13" s="2">
        <v>7</v>
      </c>
      <c r="B13" s="42" t="s">
        <v>533</v>
      </c>
      <c r="C13" s="2">
        <v>29452.39</v>
      </c>
      <c r="D13" s="2">
        <v>132</v>
      </c>
      <c r="E13" s="43">
        <f t="shared" si="0"/>
        <v>3887715.48</v>
      </c>
    </row>
    <row r="14" spans="1:5" ht="24.6" customHeight="1" x14ac:dyDescent="0.3">
      <c r="A14" s="2"/>
      <c r="B14" s="38" t="s">
        <v>281</v>
      </c>
      <c r="C14" s="2"/>
      <c r="D14" s="2"/>
      <c r="E14" s="38">
        <f>SUM(E7:E13)</f>
        <v>81258771.979999989</v>
      </c>
    </row>
    <row r="17" spans="2:3" x14ac:dyDescent="0.3">
      <c r="B17" t="s">
        <v>0</v>
      </c>
      <c r="C17" t="s">
        <v>285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A3" sqref="A1:XFD1048576"/>
    </sheetView>
  </sheetViews>
  <sheetFormatPr defaultRowHeight="14.4" x14ac:dyDescent="0.3"/>
  <cols>
    <col min="1" max="1" width="20.6640625" customWidth="1"/>
    <col min="2" max="19" width="5.77734375" customWidth="1"/>
  </cols>
  <sheetData>
    <row r="1" spans="1:19" ht="39.6" customHeight="1" x14ac:dyDescent="0.35">
      <c r="A1" s="197" t="s">
        <v>555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</row>
    <row r="2" spans="1:19" ht="18.600000000000001" customHeight="1" x14ac:dyDescent="0.3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spans="1:19" x14ac:dyDescent="0.3">
      <c r="A3" s="201" t="s">
        <v>10</v>
      </c>
      <c r="B3" s="199" t="s">
        <v>539</v>
      </c>
      <c r="C3" s="199"/>
      <c r="D3" s="199" t="s">
        <v>540</v>
      </c>
      <c r="E3" s="199"/>
      <c r="F3" s="199" t="s">
        <v>541</v>
      </c>
      <c r="G3" s="199"/>
      <c r="H3" s="199" t="s">
        <v>542</v>
      </c>
      <c r="I3" s="199"/>
      <c r="J3" s="199" t="s">
        <v>543</v>
      </c>
      <c r="K3" s="199"/>
      <c r="L3" s="198" t="s">
        <v>544</v>
      </c>
      <c r="M3" s="198"/>
      <c r="N3" s="199" t="s">
        <v>545</v>
      </c>
      <c r="O3" s="199"/>
      <c r="P3" s="199" t="s">
        <v>546</v>
      </c>
      <c r="Q3" s="199"/>
      <c r="R3" s="200" t="s">
        <v>88</v>
      </c>
      <c r="S3" s="200"/>
    </row>
    <row r="4" spans="1:19" ht="56.4" customHeight="1" x14ac:dyDescent="0.3">
      <c r="A4" s="201"/>
      <c r="B4" s="42" t="s">
        <v>556</v>
      </c>
      <c r="C4" s="42" t="s">
        <v>538</v>
      </c>
      <c r="D4" s="42" t="s">
        <v>556</v>
      </c>
      <c r="E4" s="42" t="s">
        <v>538</v>
      </c>
      <c r="F4" s="42" t="s">
        <v>556</v>
      </c>
      <c r="G4" s="42" t="s">
        <v>538</v>
      </c>
      <c r="H4" s="42" t="s">
        <v>556</v>
      </c>
      <c r="I4" s="42" t="s">
        <v>538</v>
      </c>
      <c r="J4" s="42" t="s">
        <v>556</v>
      </c>
      <c r="K4" s="42" t="s">
        <v>538</v>
      </c>
      <c r="L4" s="42" t="s">
        <v>556</v>
      </c>
      <c r="M4" s="42" t="s">
        <v>538</v>
      </c>
      <c r="N4" s="42" t="s">
        <v>556</v>
      </c>
      <c r="O4" s="42" t="s">
        <v>538</v>
      </c>
      <c r="P4" s="42" t="s">
        <v>556</v>
      </c>
      <c r="Q4" s="42" t="s">
        <v>538</v>
      </c>
      <c r="R4" s="42" t="s">
        <v>556</v>
      </c>
      <c r="S4" s="42" t="s">
        <v>538</v>
      </c>
    </row>
    <row r="5" spans="1:19" x14ac:dyDescent="0.3">
      <c r="A5" s="2" t="s">
        <v>547</v>
      </c>
      <c r="B5" s="2">
        <v>450</v>
      </c>
      <c r="C5" s="2">
        <f>B5*1</f>
        <v>450</v>
      </c>
      <c r="D5" s="2">
        <v>406</v>
      </c>
      <c r="E5" s="2">
        <f>D5*1</f>
        <v>406</v>
      </c>
      <c r="F5" s="2">
        <v>37</v>
      </c>
      <c r="G5" s="2">
        <f>F5*1</f>
        <v>37</v>
      </c>
      <c r="H5" s="2">
        <v>2</v>
      </c>
      <c r="I5" s="2">
        <f>H5*1</f>
        <v>2</v>
      </c>
      <c r="J5" s="2">
        <v>69</v>
      </c>
      <c r="K5" s="2">
        <f>J5*1</f>
        <v>69</v>
      </c>
      <c r="L5" s="2">
        <v>244</v>
      </c>
      <c r="M5" s="2">
        <f>L5*1</f>
        <v>244</v>
      </c>
      <c r="N5" s="2">
        <v>162</v>
      </c>
      <c r="O5" s="2">
        <f>N5*1</f>
        <v>162</v>
      </c>
      <c r="P5" s="2">
        <v>149</v>
      </c>
      <c r="Q5" s="2">
        <f>P5*1</f>
        <v>149</v>
      </c>
      <c r="R5" s="2">
        <f>B5+D5+F5+H5+J5+L5+N5+P5</f>
        <v>1519</v>
      </c>
      <c r="S5" s="2">
        <f>C5+E5+G5+I5+K5+M5+O5+Q5</f>
        <v>1519</v>
      </c>
    </row>
    <row r="6" spans="1:19" x14ac:dyDescent="0.3">
      <c r="A6" s="2" t="s">
        <v>548</v>
      </c>
      <c r="B6" s="2">
        <v>159</v>
      </c>
      <c r="C6" s="2">
        <f>B6*2</f>
        <v>318</v>
      </c>
      <c r="D6" s="2">
        <v>107</v>
      </c>
      <c r="E6" s="2">
        <f>D6*2</f>
        <v>214</v>
      </c>
      <c r="F6" s="2">
        <v>16</v>
      </c>
      <c r="G6" s="2">
        <f>F6*2</f>
        <v>32</v>
      </c>
      <c r="H6" s="2">
        <v>3</v>
      </c>
      <c r="I6" s="2">
        <f>H6*2</f>
        <v>6</v>
      </c>
      <c r="J6" s="2">
        <v>52</v>
      </c>
      <c r="K6" s="2">
        <f>J6*2</f>
        <v>104</v>
      </c>
      <c r="L6" s="2">
        <v>77</v>
      </c>
      <c r="M6" s="2">
        <f>L6*2</f>
        <v>154</v>
      </c>
      <c r="N6" s="2">
        <v>86</v>
      </c>
      <c r="O6" s="2">
        <f>N6*2</f>
        <v>172</v>
      </c>
      <c r="P6" s="2">
        <v>13</v>
      </c>
      <c r="Q6" s="2">
        <f>P6*2</f>
        <v>26</v>
      </c>
      <c r="R6" s="2">
        <f t="shared" ref="R6:R9" si="0">B6+D6+F6+H6+J6+L6+N6+P6</f>
        <v>513</v>
      </c>
      <c r="S6" s="2">
        <f t="shared" ref="S6:S9" si="1">C6+E6+G6+I6+K6+M6+O6+Q6</f>
        <v>1026</v>
      </c>
    </row>
    <row r="7" spans="1:19" x14ac:dyDescent="0.3">
      <c r="A7" s="2" t="s">
        <v>549</v>
      </c>
      <c r="B7" s="2">
        <v>10</v>
      </c>
      <c r="C7" s="2">
        <f>B7*3</f>
        <v>30</v>
      </c>
      <c r="D7" s="2">
        <v>5</v>
      </c>
      <c r="E7" s="2">
        <f>D7*3</f>
        <v>15</v>
      </c>
      <c r="F7" s="2">
        <v>1</v>
      </c>
      <c r="G7" s="2">
        <f>F7*3</f>
        <v>3</v>
      </c>
      <c r="H7" s="2">
        <v>0</v>
      </c>
      <c r="I7" s="2">
        <f>H7*3</f>
        <v>0</v>
      </c>
      <c r="J7" s="2">
        <v>8</v>
      </c>
      <c r="K7" s="2">
        <f>J7*3</f>
        <v>24</v>
      </c>
      <c r="L7" s="2">
        <v>41</v>
      </c>
      <c r="M7" s="2">
        <f>L7*3</f>
        <v>123</v>
      </c>
      <c r="N7" s="2">
        <v>2</v>
      </c>
      <c r="O7" s="2">
        <f>N7*3</f>
        <v>6</v>
      </c>
      <c r="P7" s="2">
        <v>3</v>
      </c>
      <c r="Q7" s="2">
        <f>P7*3</f>
        <v>9</v>
      </c>
      <c r="R7" s="2">
        <f t="shared" si="0"/>
        <v>70</v>
      </c>
      <c r="S7" s="2">
        <f t="shared" si="1"/>
        <v>210</v>
      </c>
    </row>
    <row r="8" spans="1:19" x14ac:dyDescent="0.3">
      <c r="A8" s="2" t="s">
        <v>550</v>
      </c>
      <c r="B8" s="2">
        <v>17</v>
      </c>
      <c r="C8" s="2">
        <f>B8*4</f>
        <v>68</v>
      </c>
      <c r="D8" s="2">
        <v>32</v>
      </c>
      <c r="E8" s="2">
        <f>D8*4</f>
        <v>128</v>
      </c>
      <c r="F8" s="2">
        <v>1</v>
      </c>
      <c r="G8" s="2">
        <f>F8*4</f>
        <v>4</v>
      </c>
      <c r="H8" s="2">
        <v>0</v>
      </c>
      <c r="I8" s="2">
        <f>H8*4</f>
        <v>0</v>
      </c>
      <c r="J8" s="2">
        <v>6</v>
      </c>
      <c r="K8" s="2">
        <f>J8*4</f>
        <v>24</v>
      </c>
      <c r="L8" s="2">
        <v>36</v>
      </c>
      <c r="M8" s="2">
        <f>L8*4</f>
        <v>144</v>
      </c>
      <c r="N8" s="2">
        <v>1</v>
      </c>
      <c r="O8" s="2">
        <f>N8*4</f>
        <v>4</v>
      </c>
      <c r="P8" s="2">
        <v>0</v>
      </c>
      <c r="Q8" s="2">
        <f>P8*4</f>
        <v>0</v>
      </c>
      <c r="R8" s="2">
        <f t="shared" si="0"/>
        <v>93</v>
      </c>
      <c r="S8" s="2">
        <f t="shared" si="1"/>
        <v>372</v>
      </c>
    </row>
    <row r="9" spans="1:19" ht="28.8" x14ac:dyDescent="0.3">
      <c r="A9" s="42" t="s">
        <v>551</v>
      </c>
      <c r="B9" s="2">
        <v>16</v>
      </c>
      <c r="C9" s="2">
        <f>B9*5</f>
        <v>80</v>
      </c>
      <c r="D9" s="2">
        <v>1</v>
      </c>
      <c r="E9" s="2">
        <f>D9*5</f>
        <v>5</v>
      </c>
      <c r="F9" s="2">
        <v>0</v>
      </c>
      <c r="G9" s="2">
        <f>F9*5</f>
        <v>0</v>
      </c>
      <c r="H9" s="2">
        <v>0</v>
      </c>
      <c r="I9" s="2">
        <v>3</v>
      </c>
      <c r="J9" s="2">
        <v>0</v>
      </c>
      <c r="K9" s="2">
        <f>J9*5</f>
        <v>0</v>
      </c>
      <c r="L9" s="2">
        <v>13</v>
      </c>
      <c r="M9" s="2">
        <f>L9*5</f>
        <v>65</v>
      </c>
      <c r="N9" s="2">
        <v>0</v>
      </c>
      <c r="O9" s="2">
        <f>N9*5</f>
        <v>0</v>
      </c>
      <c r="P9" s="2">
        <v>6</v>
      </c>
      <c r="Q9" s="2">
        <f>P9*5</f>
        <v>30</v>
      </c>
      <c r="R9" s="2">
        <f t="shared" si="0"/>
        <v>36</v>
      </c>
      <c r="S9" s="2">
        <f t="shared" si="1"/>
        <v>183</v>
      </c>
    </row>
    <row r="10" spans="1:19" x14ac:dyDescent="0.3">
      <c r="A10" s="38" t="s">
        <v>8</v>
      </c>
      <c r="B10" s="38"/>
      <c r="C10" s="38">
        <f>SUM(C5:C9)</f>
        <v>946</v>
      </c>
      <c r="D10" s="38"/>
      <c r="E10" s="38">
        <f>SUM(E5:E9)</f>
        <v>768</v>
      </c>
      <c r="F10" s="38"/>
      <c r="G10" s="38">
        <f>SUM(G5:G9)</f>
        <v>76</v>
      </c>
      <c r="H10" s="38"/>
      <c r="I10" s="38">
        <f>SUM(I5:I9)</f>
        <v>11</v>
      </c>
      <c r="J10" s="38"/>
      <c r="K10" s="38">
        <f>SUM(K5:K9)</f>
        <v>221</v>
      </c>
      <c r="L10" s="38"/>
      <c r="M10" s="38">
        <f>SUM(M5:M9)</f>
        <v>730</v>
      </c>
      <c r="N10" s="38"/>
      <c r="O10" s="38">
        <f>SUM(O5:O9)</f>
        <v>344</v>
      </c>
      <c r="P10" s="38"/>
      <c r="Q10" s="38">
        <f>SUM(Q5:Q9)</f>
        <v>214</v>
      </c>
      <c r="R10" s="38"/>
      <c r="S10" s="38">
        <f>SUM(S5:S9)</f>
        <v>3310</v>
      </c>
    </row>
    <row r="11" spans="1:19" ht="28.2" customHeight="1" x14ac:dyDescent="0.3">
      <c r="A11" s="42" t="s">
        <v>552</v>
      </c>
      <c r="B11" s="2"/>
      <c r="C11" s="2">
        <v>146</v>
      </c>
      <c r="D11" s="2"/>
      <c r="E11" s="2">
        <v>32</v>
      </c>
      <c r="F11" s="2"/>
      <c r="G11" s="2">
        <v>40</v>
      </c>
      <c r="H11" s="2"/>
      <c r="I11" s="2">
        <v>0</v>
      </c>
      <c r="J11" s="2"/>
      <c r="K11" s="2">
        <v>0</v>
      </c>
      <c r="L11" s="2"/>
      <c r="M11" s="2">
        <v>47</v>
      </c>
      <c r="N11" s="2"/>
      <c r="O11" s="2">
        <v>0</v>
      </c>
      <c r="P11" s="2"/>
      <c r="Q11" s="2">
        <v>25</v>
      </c>
      <c r="R11" s="2">
        <f>B11+D11+F11+H11+J11+L11+N11+P11</f>
        <v>0</v>
      </c>
      <c r="S11" s="2">
        <f>C11+E11+G11+I11+K11+M11+O11+Q11</f>
        <v>290</v>
      </c>
    </row>
    <row r="12" spans="1:19" ht="31.8" customHeight="1" x14ac:dyDescent="0.3">
      <c r="A12" s="42" t="s">
        <v>553</v>
      </c>
      <c r="B12" s="2"/>
      <c r="C12" s="2">
        <v>55</v>
      </c>
      <c r="D12" s="2"/>
      <c r="E12" s="2">
        <v>18</v>
      </c>
      <c r="F12" s="2"/>
      <c r="G12" s="2">
        <v>28</v>
      </c>
      <c r="H12" s="2"/>
      <c r="I12" s="2">
        <v>0</v>
      </c>
      <c r="J12" s="2"/>
      <c r="K12" s="2">
        <v>0</v>
      </c>
      <c r="L12" s="2"/>
      <c r="M12" s="2">
        <v>32</v>
      </c>
      <c r="N12" s="2"/>
      <c r="O12" s="2">
        <v>0</v>
      </c>
      <c r="P12" s="2"/>
      <c r="Q12" s="2">
        <v>25</v>
      </c>
      <c r="R12" s="2"/>
      <c r="S12" s="2">
        <f t="shared" ref="S12:S13" si="2">C12+E12+G12+I12+K12+M12+O12+Q12</f>
        <v>158</v>
      </c>
    </row>
    <row r="13" spans="1:19" ht="40.200000000000003" customHeight="1" x14ac:dyDescent="0.3">
      <c r="A13" s="42" t="s">
        <v>554</v>
      </c>
      <c r="B13" s="2"/>
      <c r="C13" s="2">
        <f>C11-C12</f>
        <v>91</v>
      </c>
      <c r="D13" s="2"/>
      <c r="E13" s="2">
        <f>E11-E12</f>
        <v>14</v>
      </c>
      <c r="F13" s="2"/>
      <c r="G13" s="2">
        <f>G11-G12</f>
        <v>12</v>
      </c>
      <c r="H13" s="2"/>
      <c r="I13" s="2">
        <f>I11-I12</f>
        <v>0</v>
      </c>
      <c r="J13" s="2"/>
      <c r="K13" s="2">
        <f>K11-K12</f>
        <v>0</v>
      </c>
      <c r="L13" s="2"/>
      <c r="M13" s="2">
        <f>M11-M12</f>
        <v>15</v>
      </c>
      <c r="N13" s="2"/>
      <c r="O13" s="2">
        <f>O11-O12</f>
        <v>0</v>
      </c>
      <c r="P13" s="2"/>
      <c r="Q13" s="2">
        <f>Q11-Q12</f>
        <v>0</v>
      </c>
      <c r="R13" s="2"/>
      <c r="S13" s="2">
        <f t="shared" si="2"/>
        <v>132</v>
      </c>
    </row>
    <row r="16" spans="1:19" x14ac:dyDescent="0.3">
      <c r="B16" t="s">
        <v>0</v>
      </c>
      <c r="I16" t="s">
        <v>285</v>
      </c>
    </row>
  </sheetData>
  <mergeCells count="11">
    <mergeCell ref="A1:S1"/>
    <mergeCell ref="L3:M3"/>
    <mergeCell ref="N3:O3"/>
    <mergeCell ref="P3:Q3"/>
    <mergeCell ref="R3:S3"/>
    <mergeCell ref="B3:C3"/>
    <mergeCell ref="A3:A4"/>
    <mergeCell ref="D3:E3"/>
    <mergeCell ref="F3:G3"/>
    <mergeCell ref="H3:I3"/>
    <mergeCell ref="J3:K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40" workbookViewId="0">
      <selection activeCell="B48" sqref="B48"/>
    </sheetView>
  </sheetViews>
  <sheetFormatPr defaultRowHeight="14.4" x14ac:dyDescent="0.3"/>
  <cols>
    <col min="1" max="1" width="7" customWidth="1"/>
    <col min="2" max="2" width="25.44140625" customWidth="1"/>
    <col min="3" max="3" width="10.44140625" customWidth="1"/>
    <col min="4" max="4" width="10.5546875" customWidth="1"/>
    <col min="5" max="5" width="11.77734375" customWidth="1"/>
    <col min="6" max="6" width="10.77734375" customWidth="1"/>
    <col min="7" max="7" width="10.21875" customWidth="1"/>
  </cols>
  <sheetData>
    <row r="1" spans="1:7" x14ac:dyDescent="0.3">
      <c r="A1" s="130"/>
      <c r="B1" s="131" t="s">
        <v>90</v>
      </c>
      <c r="C1" s="131" t="s">
        <v>452</v>
      </c>
      <c r="D1" s="130"/>
      <c r="E1" s="130"/>
      <c r="F1" s="202" t="s">
        <v>84</v>
      </c>
      <c r="G1" s="202"/>
    </row>
    <row r="2" spans="1:7" x14ac:dyDescent="0.3">
      <c r="A2" s="213" t="s">
        <v>83</v>
      </c>
      <c r="B2" s="213"/>
      <c r="C2" s="213"/>
      <c r="D2" s="213"/>
      <c r="E2" s="213"/>
      <c r="F2" s="213"/>
      <c r="G2" s="213"/>
    </row>
    <row r="3" spans="1:7" x14ac:dyDescent="0.3">
      <c r="A3" s="213"/>
      <c r="B3" s="213"/>
      <c r="C3" s="213"/>
      <c r="D3" s="213"/>
      <c r="E3" s="213"/>
      <c r="F3" s="213"/>
      <c r="G3" s="213"/>
    </row>
    <row r="4" spans="1:7" ht="27.75" customHeight="1" thickBot="1" x14ac:dyDescent="0.35">
      <c r="A4" s="214"/>
      <c r="B4" s="214"/>
      <c r="C4" s="214"/>
      <c r="D4" s="214"/>
      <c r="E4" s="214"/>
      <c r="F4" s="214"/>
      <c r="G4" s="214"/>
    </row>
    <row r="5" spans="1:7" ht="57" x14ac:dyDescent="0.3">
      <c r="A5" s="215" t="s">
        <v>9</v>
      </c>
      <c r="B5" s="217" t="s">
        <v>10</v>
      </c>
      <c r="C5" s="217" t="s">
        <v>5</v>
      </c>
      <c r="D5" s="219" t="s">
        <v>11</v>
      </c>
      <c r="E5" s="6" t="s">
        <v>12</v>
      </c>
      <c r="F5" s="6" t="s">
        <v>13</v>
      </c>
      <c r="G5" s="7" t="s">
        <v>14</v>
      </c>
    </row>
    <row r="6" spans="1:7" x14ac:dyDescent="0.3">
      <c r="A6" s="216"/>
      <c r="B6" s="218"/>
      <c r="C6" s="218"/>
      <c r="D6" s="220"/>
      <c r="E6" s="8" t="s">
        <v>15</v>
      </c>
      <c r="F6" s="8" t="s">
        <v>16</v>
      </c>
      <c r="G6" s="9" t="s">
        <v>17</v>
      </c>
    </row>
    <row r="7" spans="1:7" x14ac:dyDescent="0.3">
      <c r="A7" s="10"/>
      <c r="B7" s="11"/>
      <c r="C7" s="11"/>
      <c r="D7" s="8"/>
      <c r="E7" s="12" t="s">
        <v>18</v>
      </c>
      <c r="F7" s="12" t="s">
        <v>19</v>
      </c>
      <c r="G7" s="13" t="s">
        <v>20</v>
      </c>
    </row>
    <row r="8" spans="1:7" x14ac:dyDescent="0.3">
      <c r="A8" s="10">
        <v>1</v>
      </c>
      <c r="B8" s="11">
        <f>+A8+1</f>
        <v>2</v>
      </c>
      <c r="C8" s="11">
        <f>+B8+1</f>
        <v>3</v>
      </c>
      <c r="D8" s="8">
        <f>+C8+1</f>
        <v>4</v>
      </c>
      <c r="E8" s="8">
        <f>+D8+1</f>
        <v>5</v>
      </c>
      <c r="F8" s="8">
        <f>+E8+1</f>
        <v>6</v>
      </c>
      <c r="G8" s="9" t="s">
        <v>21</v>
      </c>
    </row>
    <row r="9" spans="1:7" x14ac:dyDescent="0.3">
      <c r="A9" s="206">
        <v>1</v>
      </c>
      <c r="B9" s="212" t="s">
        <v>22</v>
      </c>
      <c r="C9" s="212" t="s">
        <v>23</v>
      </c>
      <c r="D9" s="14">
        <v>1150</v>
      </c>
      <c r="E9" s="15"/>
      <c r="F9" s="15"/>
      <c r="G9" s="16">
        <f>E9*F9</f>
        <v>0</v>
      </c>
    </row>
    <row r="10" spans="1:7" x14ac:dyDescent="0.3">
      <c r="A10" s="206"/>
      <c r="B10" s="212"/>
      <c r="C10" s="212"/>
      <c r="D10" s="14">
        <v>750</v>
      </c>
      <c r="E10" s="15"/>
      <c r="F10" s="15"/>
      <c r="G10" s="16">
        <f>E10*F10</f>
        <v>0</v>
      </c>
    </row>
    <row r="11" spans="1:7" x14ac:dyDescent="0.3">
      <c r="A11" s="206"/>
      <c r="B11" s="212"/>
      <c r="C11" s="212"/>
      <c r="D11" s="14" t="s">
        <v>24</v>
      </c>
      <c r="E11" s="15"/>
      <c r="F11" s="15"/>
      <c r="G11" s="16">
        <f>E11*F11</f>
        <v>0</v>
      </c>
    </row>
    <row r="12" spans="1:7" x14ac:dyDescent="0.3">
      <c r="A12" s="206"/>
      <c r="B12" s="212"/>
      <c r="C12" s="212"/>
      <c r="D12" s="14">
        <v>330</v>
      </c>
      <c r="E12" s="15"/>
      <c r="F12" s="15"/>
      <c r="G12" s="16">
        <f>E12*F12</f>
        <v>0</v>
      </c>
    </row>
    <row r="13" spans="1:7" x14ac:dyDescent="0.3">
      <c r="A13" s="206"/>
      <c r="B13" s="212"/>
      <c r="C13" s="212"/>
      <c r="D13" s="14">
        <v>220</v>
      </c>
      <c r="E13" s="15"/>
      <c r="F13" s="15"/>
      <c r="G13" s="16">
        <f t="shared" ref="G13:G50" si="0">E13*F13</f>
        <v>0</v>
      </c>
    </row>
    <row r="14" spans="1:7" x14ac:dyDescent="0.3">
      <c r="A14" s="206"/>
      <c r="B14" s="212"/>
      <c r="C14" s="212"/>
      <c r="D14" s="14" t="s">
        <v>25</v>
      </c>
      <c r="E14" s="15"/>
      <c r="F14" s="15"/>
      <c r="G14" s="16">
        <f t="shared" si="0"/>
        <v>0</v>
      </c>
    </row>
    <row r="15" spans="1:7" x14ac:dyDescent="0.3">
      <c r="A15" s="206"/>
      <c r="B15" s="212"/>
      <c r="C15" s="212"/>
      <c r="D15" s="14">
        <v>35</v>
      </c>
      <c r="E15" s="15">
        <v>75</v>
      </c>
      <c r="F15" s="15">
        <v>1</v>
      </c>
      <c r="G15" s="16">
        <f t="shared" si="0"/>
        <v>75</v>
      </c>
    </row>
    <row r="16" spans="1:7" x14ac:dyDescent="0.3">
      <c r="A16" s="206">
        <v>2</v>
      </c>
      <c r="B16" s="212" t="s">
        <v>26</v>
      </c>
      <c r="C16" s="212" t="s">
        <v>27</v>
      </c>
      <c r="D16" s="14">
        <v>1150</v>
      </c>
      <c r="E16" s="15"/>
      <c r="F16" s="15"/>
      <c r="G16" s="16">
        <f t="shared" si="0"/>
        <v>0</v>
      </c>
    </row>
    <row r="17" spans="1:7" x14ac:dyDescent="0.3">
      <c r="A17" s="206"/>
      <c r="B17" s="212"/>
      <c r="C17" s="212"/>
      <c r="D17" s="14">
        <v>750</v>
      </c>
      <c r="E17" s="15"/>
      <c r="F17" s="15"/>
      <c r="G17" s="16">
        <f t="shared" si="0"/>
        <v>0</v>
      </c>
    </row>
    <row r="18" spans="1:7" x14ac:dyDescent="0.3">
      <c r="A18" s="206"/>
      <c r="B18" s="212"/>
      <c r="C18" s="212"/>
      <c r="D18" s="14" t="s">
        <v>24</v>
      </c>
      <c r="E18" s="15"/>
      <c r="F18" s="15"/>
      <c r="G18" s="16">
        <f t="shared" si="0"/>
        <v>0</v>
      </c>
    </row>
    <row r="19" spans="1:7" x14ac:dyDescent="0.3">
      <c r="A19" s="206"/>
      <c r="B19" s="212"/>
      <c r="C19" s="212"/>
      <c r="D19" s="14">
        <v>330</v>
      </c>
      <c r="E19" s="15"/>
      <c r="F19" s="15"/>
      <c r="G19" s="16">
        <f t="shared" si="0"/>
        <v>0</v>
      </c>
    </row>
    <row r="20" spans="1:7" x14ac:dyDescent="0.3">
      <c r="A20" s="206"/>
      <c r="B20" s="212"/>
      <c r="C20" s="212"/>
      <c r="D20" s="14">
        <v>220</v>
      </c>
      <c r="E20" s="15"/>
      <c r="F20" s="15"/>
      <c r="G20" s="16">
        <f t="shared" si="0"/>
        <v>0</v>
      </c>
    </row>
    <row r="21" spans="1:7" x14ac:dyDescent="0.3">
      <c r="A21" s="206"/>
      <c r="B21" s="212"/>
      <c r="C21" s="212"/>
      <c r="D21" s="14" t="s">
        <v>25</v>
      </c>
      <c r="E21" s="15"/>
      <c r="F21" s="15"/>
      <c r="G21" s="16">
        <f t="shared" si="0"/>
        <v>0</v>
      </c>
    </row>
    <row r="22" spans="1:7" x14ac:dyDescent="0.3">
      <c r="A22" s="206"/>
      <c r="B22" s="212"/>
      <c r="C22" s="212"/>
      <c r="D22" s="14">
        <v>35</v>
      </c>
      <c r="E22" s="15"/>
      <c r="F22" s="15"/>
      <c r="G22" s="16">
        <f t="shared" si="0"/>
        <v>0</v>
      </c>
    </row>
    <row r="23" spans="1:7" x14ac:dyDescent="0.3">
      <c r="A23" s="206"/>
      <c r="B23" s="212"/>
      <c r="C23" s="212"/>
      <c r="D23" s="17" t="s">
        <v>28</v>
      </c>
      <c r="E23" s="15">
        <v>1</v>
      </c>
      <c r="F23" s="15">
        <v>2</v>
      </c>
      <c r="G23" s="16">
        <f t="shared" si="0"/>
        <v>2</v>
      </c>
    </row>
    <row r="24" spans="1:7" x14ac:dyDescent="0.3">
      <c r="A24" s="206">
        <v>3</v>
      </c>
      <c r="B24" s="212" t="s">
        <v>29</v>
      </c>
      <c r="C24" s="212" t="s">
        <v>30</v>
      </c>
      <c r="D24" s="14">
        <v>1150</v>
      </c>
      <c r="E24" s="15"/>
      <c r="F24" s="15"/>
      <c r="G24" s="16">
        <f t="shared" si="0"/>
        <v>0</v>
      </c>
    </row>
    <row r="25" spans="1:7" x14ac:dyDescent="0.3">
      <c r="A25" s="206"/>
      <c r="B25" s="212"/>
      <c r="C25" s="212"/>
      <c r="D25" s="14">
        <v>750</v>
      </c>
      <c r="E25" s="15"/>
      <c r="F25" s="15"/>
      <c r="G25" s="16">
        <f t="shared" si="0"/>
        <v>0</v>
      </c>
    </row>
    <row r="26" spans="1:7" x14ac:dyDescent="0.3">
      <c r="A26" s="206"/>
      <c r="B26" s="212"/>
      <c r="C26" s="212"/>
      <c r="D26" s="14" t="s">
        <v>24</v>
      </c>
      <c r="E26" s="15"/>
      <c r="F26" s="15"/>
      <c r="G26" s="16">
        <f t="shared" si="0"/>
        <v>0</v>
      </c>
    </row>
    <row r="27" spans="1:7" x14ac:dyDescent="0.3">
      <c r="A27" s="206"/>
      <c r="B27" s="212"/>
      <c r="C27" s="212"/>
      <c r="D27" s="14">
        <v>330</v>
      </c>
      <c r="E27" s="15"/>
      <c r="F27" s="15"/>
      <c r="G27" s="16">
        <f t="shared" si="0"/>
        <v>0</v>
      </c>
    </row>
    <row r="28" spans="1:7" x14ac:dyDescent="0.3">
      <c r="A28" s="206"/>
      <c r="B28" s="212"/>
      <c r="C28" s="212"/>
      <c r="D28" s="14">
        <v>220</v>
      </c>
      <c r="E28" s="15"/>
      <c r="F28" s="15"/>
      <c r="G28" s="16">
        <f t="shared" si="0"/>
        <v>0</v>
      </c>
    </row>
    <row r="29" spans="1:7" x14ac:dyDescent="0.3">
      <c r="A29" s="206"/>
      <c r="B29" s="212"/>
      <c r="C29" s="212"/>
      <c r="D29" s="14" t="s">
        <v>25</v>
      </c>
      <c r="E29" s="15"/>
      <c r="F29" s="15"/>
      <c r="G29" s="16">
        <f t="shared" si="0"/>
        <v>0</v>
      </c>
    </row>
    <row r="30" spans="1:7" x14ac:dyDescent="0.3">
      <c r="A30" s="206"/>
      <c r="B30" s="212"/>
      <c r="C30" s="212"/>
      <c r="D30" s="14">
        <v>35</v>
      </c>
      <c r="E30" s="15"/>
      <c r="F30" s="15"/>
      <c r="G30" s="16">
        <f t="shared" si="0"/>
        <v>0</v>
      </c>
    </row>
    <row r="31" spans="1:7" x14ac:dyDescent="0.3">
      <c r="A31" s="206"/>
      <c r="B31" s="212"/>
      <c r="C31" s="212"/>
      <c r="D31" s="17" t="s">
        <v>28</v>
      </c>
      <c r="E31" s="15"/>
      <c r="F31" s="15"/>
      <c r="G31" s="16">
        <f t="shared" si="0"/>
        <v>0</v>
      </c>
    </row>
    <row r="32" spans="1:7" x14ac:dyDescent="0.3">
      <c r="A32" s="206">
        <v>4</v>
      </c>
      <c r="B32" s="212" t="s">
        <v>31</v>
      </c>
      <c r="C32" s="212" t="s">
        <v>32</v>
      </c>
      <c r="D32" s="14">
        <v>220</v>
      </c>
      <c r="E32" s="15"/>
      <c r="F32" s="15"/>
      <c r="G32" s="16">
        <f t="shared" si="0"/>
        <v>0</v>
      </c>
    </row>
    <row r="33" spans="1:7" x14ac:dyDescent="0.3">
      <c r="A33" s="206"/>
      <c r="B33" s="212"/>
      <c r="C33" s="212"/>
      <c r="D33" s="14" t="s">
        <v>25</v>
      </c>
      <c r="E33" s="15"/>
      <c r="F33" s="15"/>
      <c r="G33" s="16">
        <f t="shared" si="0"/>
        <v>0</v>
      </c>
    </row>
    <row r="34" spans="1:7" x14ac:dyDescent="0.3">
      <c r="A34" s="206"/>
      <c r="B34" s="212"/>
      <c r="C34" s="212"/>
      <c r="D34" s="14">
        <v>35</v>
      </c>
      <c r="E34" s="15">
        <v>6.4</v>
      </c>
      <c r="F34" s="15">
        <v>3</v>
      </c>
      <c r="G34" s="16">
        <f t="shared" si="0"/>
        <v>19.200000000000003</v>
      </c>
    </row>
    <row r="35" spans="1:7" x14ac:dyDescent="0.3">
      <c r="A35" s="206"/>
      <c r="B35" s="212"/>
      <c r="C35" s="212"/>
      <c r="D35" s="17" t="s">
        <v>28</v>
      </c>
      <c r="E35" s="15">
        <v>3.1</v>
      </c>
      <c r="F35" s="15">
        <v>30</v>
      </c>
      <c r="G35" s="16">
        <f t="shared" si="0"/>
        <v>93</v>
      </c>
    </row>
    <row r="36" spans="1:7" x14ac:dyDescent="0.3">
      <c r="A36" s="206">
        <v>5</v>
      </c>
      <c r="B36" s="212" t="s">
        <v>33</v>
      </c>
      <c r="C36" s="212" t="s">
        <v>27</v>
      </c>
      <c r="D36" s="14" t="s">
        <v>24</v>
      </c>
      <c r="E36" s="15"/>
      <c r="F36" s="15"/>
      <c r="G36" s="16">
        <f t="shared" si="0"/>
        <v>0</v>
      </c>
    </row>
    <row r="37" spans="1:7" x14ac:dyDescent="0.3">
      <c r="A37" s="206"/>
      <c r="B37" s="212"/>
      <c r="C37" s="212"/>
      <c r="D37" s="14">
        <v>330</v>
      </c>
      <c r="E37" s="15"/>
      <c r="F37" s="15"/>
      <c r="G37" s="16">
        <f t="shared" si="0"/>
        <v>0</v>
      </c>
    </row>
    <row r="38" spans="1:7" x14ac:dyDescent="0.3">
      <c r="A38" s="206"/>
      <c r="B38" s="212"/>
      <c r="C38" s="212"/>
      <c r="D38" s="14">
        <v>220</v>
      </c>
      <c r="E38" s="15"/>
      <c r="F38" s="15"/>
      <c r="G38" s="16">
        <f t="shared" si="0"/>
        <v>0</v>
      </c>
    </row>
    <row r="39" spans="1:7" x14ac:dyDescent="0.3">
      <c r="A39" s="206"/>
      <c r="B39" s="212"/>
      <c r="C39" s="212"/>
      <c r="D39" s="14" t="s">
        <v>25</v>
      </c>
      <c r="E39" s="15"/>
      <c r="F39" s="15"/>
      <c r="G39" s="16">
        <f t="shared" si="0"/>
        <v>0</v>
      </c>
    </row>
    <row r="40" spans="1:7" x14ac:dyDescent="0.3">
      <c r="A40" s="206"/>
      <c r="B40" s="212"/>
      <c r="C40" s="212"/>
      <c r="D40" s="14">
        <v>35</v>
      </c>
      <c r="E40" s="15">
        <v>4.7</v>
      </c>
      <c r="F40" s="15">
        <v>6</v>
      </c>
      <c r="G40" s="16">
        <f t="shared" si="0"/>
        <v>28.200000000000003</v>
      </c>
    </row>
    <row r="41" spans="1:7" ht="22.5" customHeight="1" x14ac:dyDescent="0.3">
      <c r="A41" s="18">
        <v>6</v>
      </c>
      <c r="B41" s="19" t="s">
        <v>34</v>
      </c>
      <c r="C41" s="19" t="s">
        <v>32</v>
      </c>
      <c r="D41" s="17" t="s">
        <v>28</v>
      </c>
      <c r="E41" s="15">
        <v>2.2999999999999998</v>
      </c>
      <c r="F41" s="15">
        <v>345</v>
      </c>
      <c r="G41" s="16">
        <f t="shared" si="0"/>
        <v>793.49999999999989</v>
      </c>
    </row>
    <row r="42" spans="1:7" ht="31.5" customHeight="1" x14ac:dyDescent="0.3">
      <c r="A42" s="18">
        <v>7</v>
      </c>
      <c r="B42" s="19" t="s">
        <v>35</v>
      </c>
      <c r="C42" s="19" t="s">
        <v>32</v>
      </c>
      <c r="D42" s="17" t="s">
        <v>28</v>
      </c>
      <c r="E42" s="15"/>
      <c r="F42" s="15"/>
      <c r="G42" s="16">
        <f t="shared" si="0"/>
        <v>0</v>
      </c>
    </row>
    <row r="43" spans="1:7" ht="18" customHeight="1" x14ac:dyDescent="0.3">
      <c r="A43" s="18">
        <v>8</v>
      </c>
      <c r="B43" s="19" t="s">
        <v>36</v>
      </c>
      <c r="C43" s="19" t="s">
        <v>32</v>
      </c>
      <c r="D43" s="17" t="s">
        <v>28</v>
      </c>
      <c r="E43" s="15"/>
      <c r="F43" s="15"/>
      <c r="G43" s="16">
        <f t="shared" si="0"/>
        <v>0</v>
      </c>
    </row>
    <row r="44" spans="1:7" x14ac:dyDescent="0.3">
      <c r="A44" s="203">
        <v>9</v>
      </c>
      <c r="B44" s="204" t="s">
        <v>37</v>
      </c>
      <c r="C44" s="205" t="s">
        <v>38</v>
      </c>
      <c r="D44" s="14" t="s">
        <v>25</v>
      </c>
      <c r="E44" s="15"/>
      <c r="F44" s="15"/>
      <c r="G44" s="16">
        <f t="shared" si="0"/>
        <v>0</v>
      </c>
    </row>
    <row r="45" spans="1:7" x14ac:dyDescent="0.3">
      <c r="A45" s="203"/>
      <c r="B45" s="204"/>
      <c r="C45" s="205"/>
      <c r="D45" s="14">
        <v>35</v>
      </c>
      <c r="E45" s="15"/>
      <c r="F45" s="15"/>
      <c r="G45" s="16">
        <f t="shared" si="0"/>
        <v>0</v>
      </c>
    </row>
    <row r="46" spans="1:7" x14ac:dyDescent="0.3">
      <c r="A46" s="203"/>
      <c r="B46" s="204"/>
      <c r="C46" s="205"/>
      <c r="D46" s="17" t="s">
        <v>28</v>
      </c>
      <c r="E46" s="15"/>
      <c r="F46" s="15"/>
      <c r="G46" s="16">
        <f t="shared" si="0"/>
        <v>0</v>
      </c>
    </row>
    <row r="47" spans="1:7" ht="28.5" customHeight="1" x14ac:dyDescent="0.3">
      <c r="A47" s="18">
        <v>10</v>
      </c>
      <c r="B47" s="19" t="s">
        <v>39</v>
      </c>
      <c r="C47" s="19" t="s">
        <v>40</v>
      </c>
      <c r="D47" s="17" t="s">
        <v>28</v>
      </c>
      <c r="E47" s="15">
        <v>2.5</v>
      </c>
      <c r="F47" s="15">
        <v>8</v>
      </c>
      <c r="G47" s="16">
        <f t="shared" si="0"/>
        <v>20</v>
      </c>
    </row>
    <row r="48" spans="1:7" ht="38.25" customHeight="1" x14ac:dyDescent="0.3">
      <c r="A48" s="18">
        <v>11</v>
      </c>
      <c r="B48" s="19" t="s">
        <v>41</v>
      </c>
      <c r="C48" s="19" t="s">
        <v>42</v>
      </c>
      <c r="D48" s="17" t="s">
        <v>28</v>
      </c>
      <c r="E48" s="15">
        <v>2.2999999999999998</v>
      </c>
      <c r="F48" s="15">
        <v>49</v>
      </c>
      <c r="G48" s="16">
        <f t="shared" si="0"/>
        <v>112.69999999999999</v>
      </c>
    </row>
    <row r="49" spans="1:9" ht="29.25" customHeight="1" x14ac:dyDescent="0.3">
      <c r="A49" s="18">
        <v>12</v>
      </c>
      <c r="B49" s="19" t="s">
        <v>43</v>
      </c>
      <c r="C49" s="19" t="s">
        <v>42</v>
      </c>
      <c r="D49" s="17" t="s">
        <v>28</v>
      </c>
      <c r="E49" s="15">
        <v>3</v>
      </c>
      <c r="F49" s="15">
        <v>29</v>
      </c>
      <c r="G49" s="16">
        <f t="shared" si="0"/>
        <v>87</v>
      </c>
    </row>
    <row r="50" spans="1:9" ht="30" customHeight="1" x14ac:dyDescent="0.3">
      <c r="A50" s="18">
        <v>13</v>
      </c>
      <c r="B50" s="19" t="s">
        <v>44</v>
      </c>
      <c r="C50" s="19" t="s">
        <v>45</v>
      </c>
      <c r="D50" s="14">
        <v>35</v>
      </c>
      <c r="E50" s="15"/>
      <c r="F50" s="15"/>
      <c r="G50" s="16">
        <f t="shared" si="0"/>
        <v>0</v>
      </c>
    </row>
    <row r="51" spans="1:9" x14ac:dyDescent="0.3">
      <c r="A51" s="206" t="s">
        <v>46</v>
      </c>
      <c r="B51" s="208" t="s">
        <v>8</v>
      </c>
      <c r="C51" s="210"/>
      <c r="D51" s="14" t="s">
        <v>47</v>
      </c>
      <c r="E51" s="20"/>
      <c r="F51" s="20"/>
      <c r="G51" s="21">
        <f>G39+G38+G33+G32+G29+G28+G21+G20+G14+G13+G44</f>
        <v>0</v>
      </c>
    </row>
    <row r="52" spans="1:9" x14ac:dyDescent="0.3">
      <c r="A52" s="206"/>
      <c r="B52" s="208"/>
      <c r="C52" s="210"/>
      <c r="D52" s="14" t="s">
        <v>48</v>
      </c>
      <c r="E52" s="20"/>
      <c r="F52" s="20"/>
      <c r="G52" s="21">
        <f>G34+G40+G15</f>
        <v>122.4</v>
      </c>
    </row>
    <row r="53" spans="1:9" x14ac:dyDescent="0.3">
      <c r="A53" s="206"/>
      <c r="B53" s="208"/>
      <c r="C53" s="210"/>
      <c r="D53" s="14" t="s">
        <v>49</v>
      </c>
      <c r="E53" s="20"/>
      <c r="F53" s="20"/>
      <c r="G53" s="21">
        <f>G23+G35+G41+G47+G48+G49</f>
        <v>1108.1999999999998</v>
      </c>
      <c r="I53" s="132"/>
    </row>
    <row r="54" spans="1:9" ht="15" thickBot="1" x14ac:dyDescent="0.35">
      <c r="A54" s="207"/>
      <c r="B54" s="209"/>
      <c r="C54" s="211"/>
      <c r="D54" s="22" t="s">
        <v>50</v>
      </c>
      <c r="E54" s="23"/>
      <c r="F54" s="23"/>
      <c r="G54" s="24">
        <f>SUM(G9:G50) - G51-G52-G53</f>
        <v>0</v>
      </c>
    </row>
    <row r="56" spans="1:9" x14ac:dyDescent="0.3">
      <c r="B56" s="25" t="s">
        <v>255</v>
      </c>
    </row>
  </sheetData>
  <protectedRanges>
    <protectedRange sqref="E9:F54" name="Диапазон1"/>
  </protectedRanges>
  <mergeCells count="27">
    <mergeCell ref="A24:A31"/>
    <mergeCell ref="B24:B31"/>
    <mergeCell ref="C24:C31"/>
    <mergeCell ref="A2:G4"/>
    <mergeCell ref="A5:A6"/>
    <mergeCell ref="B5:B6"/>
    <mergeCell ref="C5:C6"/>
    <mergeCell ref="D5:D6"/>
    <mergeCell ref="A9:A15"/>
    <mergeCell ref="B9:B15"/>
    <mergeCell ref="C9:C15"/>
    <mergeCell ref="F1:G1"/>
    <mergeCell ref="A44:A46"/>
    <mergeCell ref="B44:B46"/>
    <mergeCell ref="C44:C46"/>
    <mergeCell ref="A51:A54"/>
    <mergeCell ref="B51:B54"/>
    <mergeCell ref="C51:C54"/>
    <mergeCell ref="A32:A35"/>
    <mergeCell ref="B32:B35"/>
    <mergeCell ref="C32:C35"/>
    <mergeCell ref="A36:A40"/>
    <mergeCell ref="B36:B40"/>
    <mergeCell ref="C36:C40"/>
    <mergeCell ref="A16:A23"/>
    <mergeCell ref="B16:B23"/>
    <mergeCell ref="C16:C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8" workbookViewId="0">
      <selection activeCell="H47" sqref="H47"/>
    </sheetView>
  </sheetViews>
  <sheetFormatPr defaultColWidth="8.77734375" defaultRowHeight="13.8" x14ac:dyDescent="0.3"/>
  <cols>
    <col min="1" max="1" width="7" style="5" customWidth="1"/>
    <col min="2" max="2" width="9.5546875" style="5" customWidth="1"/>
    <col min="3" max="3" width="8" style="5" customWidth="1"/>
    <col min="4" max="4" width="8.77734375" style="5" customWidth="1"/>
    <col min="5" max="5" width="20.77734375" style="5" customWidth="1"/>
    <col min="6" max="6" width="10.21875" style="5" customWidth="1"/>
    <col min="7" max="7" width="11.5546875" style="5" customWidth="1"/>
    <col min="8" max="16384" width="8.77734375" style="5"/>
  </cols>
  <sheetData>
    <row r="1" spans="1:8" x14ac:dyDescent="0.3">
      <c r="A1" s="133"/>
      <c r="B1" s="134" t="s">
        <v>90</v>
      </c>
      <c r="C1" s="133"/>
      <c r="D1" s="133"/>
      <c r="E1" s="134" t="s">
        <v>453</v>
      </c>
      <c r="F1" s="133"/>
      <c r="G1" s="133" t="s">
        <v>85</v>
      </c>
      <c r="H1" s="133"/>
    </row>
    <row r="2" spans="1:8" x14ac:dyDescent="0.3">
      <c r="A2" s="213" t="s">
        <v>82</v>
      </c>
      <c r="B2" s="213"/>
      <c r="C2" s="213"/>
      <c r="D2" s="213"/>
      <c r="E2" s="213"/>
      <c r="F2" s="213"/>
      <c r="G2" s="213"/>
      <c r="H2" s="213"/>
    </row>
    <row r="3" spans="1:8" x14ac:dyDescent="0.3">
      <c r="A3" s="213"/>
      <c r="B3" s="213"/>
      <c r="C3" s="213"/>
      <c r="D3" s="213"/>
      <c r="E3" s="213"/>
      <c r="F3" s="213"/>
      <c r="G3" s="213"/>
      <c r="H3" s="213"/>
    </row>
    <row r="4" spans="1:8" x14ac:dyDescent="0.3">
      <c r="A4" s="213"/>
      <c r="B4" s="213"/>
      <c r="C4" s="213"/>
      <c r="D4" s="213"/>
      <c r="E4" s="213"/>
      <c r="F4" s="213"/>
      <c r="G4" s="213"/>
      <c r="H4" s="213"/>
    </row>
    <row r="5" spans="1:8" ht="17.55" customHeight="1" thickBot="1" x14ac:dyDescent="0.35">
      <c r="A5" s="214"/>
      <c r="B5" s="214"/>
      <c r="C5" s="214"/>
      <c r="D5" s="214"/>
      <c r="E5" s="214"/>
      <c r="F5" s="214"/>
      <c r="G5" s="214"/>
      <c r="H5" s="214"/>
    </row>
    <row r="6" spans="1:8" ht="82.95" customHeight="1" x14ac:dyDescent="0.3">
      <c r="A6" s="223" t="s">
        <v>51</v>
      </c>
      <c r="B6" s="225" t="s">
        <v>11</v>
      </c>
      <c r="C6" s="49"/>
      <c r="D6" s="225" t="s">
        <v>52</v>
      </c>
      <c r="E6" s="225" t="s">
        <v>53</v>
      </c>
      <c r="F6" s="50" t="s">
        <v>54</v>
      </c>
      <c r="G6" s="50" t="s">
        <v>55</v>
      </c>
      <c r="H6" s="51" t="s">
        <v>14</v>
      </c>
    </row>
    <row r="7" spans="1:8" ht="11.55" customHeight="1" x14ac:dyDescent="0.3">
      <c r="A7" s="224"/>
      <c r="B7" s="226"/>
      <c r="C7" s="52"/>
      <c r="D7" s="226"/>
      <c r="E7" s="226"/>
      <c r="F7" s="53" t="s">
        <v>56</v>
      </c>
      <c r="G7" s="53" t="s">
        <v>6</v>
      </c>
      <c r="H7" s="54" t="s">
        <v>17</v>
      </c>
    </row>
    <row r="8" spans="1:8" x14ac:dyDescent="0.3">
      <c r="A8" s="55"/>
      <c r="B8" s="53"/>
      <c r="C8" s="52"/>
      <c r="D8" s="53"/>
      <c r="E8" s="53"/>
      <c r="F8" s="53" t="s">
        <v>18</v>
      </c>
      <c r="G8" s="53" t="s">
        <v>19</v>
      </c>
      <c r="H8" s="54" t="s">
        <v>20</v>
      </c>
    </row>
    <row r="9" spans="1:8" ht="26.4" x14ac:dyDescent="0.3">
      <c r="A9" s="56">
        <v>1</v>
      </c>
      <c r="B9" s="53">
        <f>+A9+1</f>
        <v>2</v>
      </c>
      <c r="C9" s="52"/>
      <c r="D9" s="53">
        <f>+B9+1</f>
        <v>3</v>
      </c>
      <c r="E9" s="53">
        <f>+D9+1</f>
        <v>4</v>
      </c>
      <c r="F9" s="53">
        <f>+E9+1</f>
        <v>5</v>
      </c>
      <c r="G9" s="53">
        <f>+F9+1</f>
        <v>6</v>
      </c>
      <c r="H9" s="54" t="s">
        <v>57</v>
      </c>
    </row>
    <row r="10" spans="1:8" x14ac:dyDescent="0.3">
      <c r="A10" s="221" t="s">
        <v>58</v>
      </c>
      <c r="B10" s="57">
        <v>1150</v>
      </c>
      <c r="C10" s="57">
        <v>1150</v>
      </c>
      <c r="D10" s="57" t="s">
        <v>59</v>
      </c>
      <c r="E10" s="57" t="s">
        <v>60</v>
      </c>
      <c r="F10" s="58"/>
      <c r="G10" s="58"/>
      <c r="H10" s="59">
        <f t="shared" ref="H10:H29" si="0">F10*G10/100</f>
        <v>0</v>
      </c>
    </row>
    <row r="11" spans="1:8" x14ac:dyDescent="0.3">
      <c r="A11" s="221"/>
      <c r="B11" s="57">
        <v>750</v>
      </c>
      <c r="C11" s="57">
        <v>750</v>
      </c>
      <c r="D11" s="57">
        <v>1</v>
      </c>
      <c r="E11" s="57" t="s">
        <v>60</v>
      </c>
      <c r="F11" s="58"/>
      <c r="G11" s="58"/>
      <c r="H11" s="59">
        <f t="shared" si="0"/>
        <v>0</v>
      </c>
    </row>
    <row r="12" spans="1:8" x14ac:dyDescent="0.3">
      <c r="A12" s="221"/>
      <c r="B12" s="222" t="s">
        <v>24</v>
      </c>
      <c r="C12" s="57" t="s">
        <v>61</v>
      </c>
      <c r="D12" s="222">
        <v>1</v>
      </c>
      <c r="E12" s="57" t="s">
        <v>60</v>
      </c>
      <c r="F12" s="58"/>
      <c r="G12" s="58"/>
      <c r="H12" s="59">
        <f t="shared" si="0"/>
        <v>0</v>
      </c>
    </row>
    <row r="13" spans="1:8" x14ac:dyDescent="0.3">
      <c r="A13" s="221"/>
      <c r="B13" s="222"/>
      <c r="C13" s="57" t="s">
        <v>61</v>
      </c>
      <c r="D13" s="222"/>
      <c r="E13" s="57" t="s">
        <v>62</v>
      </c>
      <c r="F13" s="58"/>
      <c r="G13" s="58"/>
      <c r="H13" s="59">
        <f t="shared" si="0"/>
        <v>0</v>
      </c>
    </row>
    <row r="14" spans="1:8" x14ac:dyDescent="0.3">
      <c r="A14" s="221"/>
      <c r="B14" s="222">
        <v>330</v>
      </c>
      <c r="C14" s="57">
        <v>330</v>
      </c>
      <c r="D14" s="222">
        <v>1</v>
      </c>
      <c r="E14" s="57" t="s">
        <v>60</v>
      </c>
      <c r="F14" s="58"/>
      <c r="G14" s="58"/>
      <c r="H14" s="59">
        <f t="shared" si="0"/>
        <v>0</v>
      </c>
    </row>
    <row r="15" spans="1:8" x14ac:dyDescent="0.3">
      <c r="A15" s="221"/>
      <c r="B15" s="222"/>
      <c r="C15" s="57">
        <v>330</v>
      </c>
      <c r="D15" s="222"/>
      <c r="E15" s="57" t="s">
        <v>62</v>
      </c>
      <c r="F15" s="58"/>
      <c r="G15" s="58"/>
      <c r="H15" s="59">
        <f t="shared" si="0"/>
        <v>0</v>
      </c>
    </row>
    <row r="16" spans="1:8" x14ac:dyDescent="0.3">
      <c r="A16" s="221"/>
      <c r="B16" s="222"/>
      <c r="C16" s="57">
        <v>330</v>
      </c>
      <c r="D16" s="222">
        <v>2</v>
      </c>
      <c r="E16" s="57" t="s">
        <v>60</v>
      </c>
      <c r="F16" s="58"/>
      <c r="G16" s="58"/>
      <c r="H16" s="59">
        <f t="shared" si="0"/>
        <v>0</v>
      </c>
    </row>
    <row r="17" spans="1:8" x14ac:dyDescent="0.3">
      <c r="A17" s="221"/>
      <c r="B17" s="222"/>
      <c r="C17" s="57">
        <v>330</v>
      </c>
      <c r="D17" s="222"/>
      <c r="E17" s="57" t="s">
        <v>62</v>
      </c>
      <c r="F17" s="58"/>
      <c r="G17" s="58"/>
      <c r="H17" s="59">
        <f t="shared" si="0"/>
        <v>0</v>
      </c>
    </row>
    <row r="18" spans="1:8" x14ac:dyDescent="0.3">
      <c r="A18" s="221"/>
      <c r="B18" s="222">
        <v>220</v>
      </c>
      <c r="C18" s="57">
        <v>220</v>
      </c>
      <c r="D18" s="222">
        <v>1</v>
      </c>
      <c r="E18" s="57" t="s">
        <v>63</v>
      </c>
      <c r="F18" s="58"/>
      <c r="G18" s="58"/>
      <c r="H18" s="59">
        <f t="shared" si="0"/>
        <v>0</v>
      </c>
    </row>
    <row r="19" spans="1:8" x14ac:dyDescent="0.3">
      <c r="A19" s="221"/>
      <c r="B19" s="222"/>
      <c r="C19" s="57">
        <v>220</v>
      </c>
      <c r="D19" s="222"/>
      <c r="E19" s="57" t="s">
        <v>60</v>
      </c>
      <c r="F19" s="58"/>
      <c r="G19" s="58"/>
      <c r="H19" s="59">
        <f t="shared" si="0"/>
        <v>0</v>
      </c>
    </row>
    <row r="20" spans="1:8" x14ac:dyDescent="0.3">
      <c r="A20" s="221"/>
      <c r="B20" s="222"/>
      <c r="C20" s="57">
        <v>220</v>
      </c>
      <c r="D20" s="222"/>
      <c r="E20" s="57" t="s">
        <v>62</v>
      </c>
      <c r="F20" s="58"/>
      <c r="G20" s="58"/>
      <c r="H20" s="59">
        <f t="shared" si="0"/>
        <v>0</v>
      </c>
    </row>
    <row r="21" spans="1:8" x14ac:dyDescent="0.3">
      <c r="A21" s="221"/>
      <c r="B21" s="222"/>
      <c r="C21" s="57">
        <v>220</v>
      </c>
      <c r="D21" s="222">
        <v>2</v>
      </c>
      <c r="E21" s="57" t="s">
        <v>60</v>
      </c>
      <c r="F21" s="58"/>
      <c r="G21" s="58"/>
      <c r="H21" s="59">
        <f t="shared" si="0"/>
        <v>0</v>
      </c>
    </row>
    <row r="22" spans="1:8" x14ac:dyDescent="0.3">
      <c r="A22" s="221"/>
      <c r="B22" s="222"/>
      <c r="C22" s="57">
        <v>220</v>
      </c>
      <c r="D22" s="222"/>
      <c r="E22" s="57" t="s">
        <v>62</v>
      </c>
      <c r="F22" s="58"/>
      <c r="G22" s="58"/>
      <c r="H22" s="59">
        <f t="shared" si="0"/>
        <v>0</v>
      </c>
    </row>
    <row r="23" spans="1:8" x14ac:dyDescent="0.3">
      <c r="A23" s="221"/>
      <c r="B23" s="222" t="s">
        <v>25</v>
      </c>
      <c r="C23" s="57" t="s">
        <v>64</v>
      </c>
      <c r="D23" s="222">
        <v>1</v>
      </c>
      <c r="E23" s="57" t="s">
        <v>63</v>
      </c>
      <c r="F23" s="58"/>
      <c r="G23" s="58"/>
      <c r="H23" s="59">
        <f t="shared" si="0"/>
        <v>0</v>
      </c>
    </row>
    <row r="24" spans="1:8" x14ac:dyDescent="0.3">
      <c r="A24" s="221"/>
      <c r="B24" s="222"/>
      <c r="C24" s="57" t="s">
        <v>64</v>
      </c>
      <c r="D24" s="222"/>
      <c r="E24" s="57" t="s">
        <v>60</v>
      </c>
      <c r="F24" s="58"/>
      <c r="G24" s="58"/>
      <c r="H24" s="59">
        <f t="shared" si="0"/>
        <v>0</v>
      </c>
    </row>
    <row r="25" spans="1:8" x14ac:dyDescent="0.3">
      <c r="A25" s="221"/>
      <c r="B25" s="222"/>
      <c r="C25" s="57" t="s">
        <v>64</v>
      </c>
      <c r="D25" s="222"/>
      <c r="E25" s="57" t="s">
        <v>62</v>
      </c>
      <c r="F25" s="58"/>
      <c r="G25" s="58"/>
      <c r="H25" s="59">
        <f t="shared" si="0"/>
        <v>0</v>
      </c>
    </row>
    <row r="26" spans="1:8" x14ac:dyDescent="0.3">
      <c r="A26" s="221"/>
      <c r="B26" s="222"/>
      <c r="C26" s="57" t="s">
        <v>64</v>
      </c>
      <c r="D26" s="222">
        <v>2</v>
      </c>
      <c r="E26" s="57" t="s">
        <v>60</v>
      </c>
      <c r="F26" s="58"/>
      <c r="G26" s="58"/>
      <c r="H26" s="59">
        <f t="shared" si="0"/>
        <v>0</v>
      </c>
    </row>
    <row r="27" spans="1:8" x14ac:dyDescent="0.3">
      <c r="A27" s="221"/>
      <c r="B27" s="222"/>
      <c r="C27" s="57" t="s">
        <v>64</v>
      </c>
      <c r="D27" s="222"/>
      <c r="E27" s="57" t="s">
        <v>62</v>
      </c>
      <c r="F27" s="58"/>
      <c r="G27" s="58"/>
      <c r="H27" s="59">
        <f t="shared" si="0"/>
        <v>0</v>
      </c>
    </row>
    <row r="28" spans="1:8" x14ac:dyDescent="0.3">
      <c r="A28" s="221" t="s">
        <v>65</v>
      </c>
      <c r="B28" s="57">
        <v>220</v>
      </c>
      <c r="C28" s="57">
        <v>220</v>
      </c>
      <c r="D28" s="57" t="s">
        <v>59</v>
      </c>
      <c r="E28" s="57" t="s">
        <v>59</v>
      </c>
      <c r="F28" s="58"/>
      <c r="G28" s="58"/>
      <c r="H28" s="59">
        <f t="shared" si="0"/>
        <v>0</v>
      </c>
    </row>
    <row r="29" spans="1:8" x14ac:dyDescent="0.3">
      <c r="A29" s="221"/>
      <c r="B29" s="57">
        <v>110</v>
      </c>
      <c r="C29" s="57">
        <v>110</v>
      </c>
      <c r="D29" s="57" t="s">
        <v>59</v>
      </c>
      <c r="E29" s="57" t="s">
        <v>59</v>
      </c>
      <c r="F29" s="58"/>
      <c r="G29" s="58"/>
      <c r="H29" s="59">
        <f t="shared" si="0"/>
        <v>0</v>
      </c>
    </row>
    <row r="30" spans="1:8" x14ac:dyDescent="0.3">
      <c r="A30" s="60" t="s">
        <v>66</v>
      </c>
      <c r="B30" s="57"/>
      <c r="C30" s="57"/>
      <c r="D30" s="57"/>
      <c r="E30" s="57"/>
      <c r="F30" s="61"/>
      <c r="G30" s="61"/>
      <c r="H30" s="62">
        <f>SUM(H18:H29)</f>
        <v>0</v>
      </c>
    </row>
    <row r="31" spans="1:8" x14ac:dyDescent="0.3">
      <c r="A31" s="221" t="s">
        <v>58</v>
      </c>
      <c r="B31" s="222">
        <v>35</v>
      </c>
      <c r="C31" s="57">
        <v>35</v>
      </c>
      <c r="D31" s="222">
        <v>1</v>
      </c>
      <c r="E31" s="57" t="s">
        <v>63</v>
      </c>
      <c r="F31" s="63"/>
      <c r="G31" s="63"/>
      <c r="H31" s="59">
        <f t="shared" ref="H31:H39" si="1">F31*G31/100</f>
        <v>0</v>
      </c>
    </row>
    <row r="32" spans="1:8" x14ac:dyDescent="0.3">
      <c r="A32" s="221"/>
      <c r="B32" s="222"/>
      <c r="C32" s="57">
        <v>35</v>
      </c>
      <c r="D32" s="222"/>
      <c r="E32" s="57" t="s">
        <v>60</v>
      </c>
      <c r="F32" s="63">
        <v>140</v>
      </c>
      <c r="G32" s="63">
        <v>16.3</v>
      </c>
      <c r="H32" s="59">
        <v>22.8</v>
      </c>
    </row>
    <row r="33" spans="1:8" x14ac:dyDescent="0.3">
      <c r="A33" s="221"/>
      <c r="B33" s="222"/>
      <c r="C33" s="57">
        <v>35</v>
      </c>
      <c r="D33" s="222"/>
      <c r="E33" s="57" t="s">
        <v>62</v>
      </c>
      <c r="F33" s="63">
        <v>120</v>
      </c>
      <c r="G33" s="63">
        <v>24.4</v>
      </c>
      <c r="H33" s="59">
        <v>29.2</v>
      </c>
    </row>
    <row r="34" spans="1:8" x14ac:dyDescent="0.3">
      <c r="A34" s="221"/>
      <c r="B34" s="222"/>
      <c r="C34" s="57">
        <v>35</v>
      </c>
      <c r="D34" s="222">
        <v>2</v>
      </c>
      <c r="E34" s="57" t="s">
        <v>60</v>
      </c>
      <c r="F34" s="63"/>
      <c r="G34" s="63"/>
      <c r="H34" s="59"/>
    </row>
    <row r="35" spans="1:8" x14ac:dyDescent="0.3">
      <c r="A35" s="221"/>
      <c r="B35" s="222"/>
      <c r="C35" s="57">
        <v>35</v>
      </c>
      <c r="D35" s="222"/>
      <c r="E35" s="57" t="s">
        <v>62</v>
      </c>
      <c r="F35" s="63"/>
      <c r="G35" s="63"/>
      <c r="H35" s="59"/>
    </row>
    <row r="36" spans="1:8" x14ac:dyDescent="0.3">
      <c r="A36" s="221"/>
      <c r="B36" s="222" t="s">
        <v>67</v>
      </c>
      <c r="C36" s="57" t="s">
        <v>68</v>
      </c>
      <c r="D36" s="222" t="s">
        <v>59</v>
      </c>
      <c r="E36" s="57" t="s">
        <v>63</v>
      </c>
      <c r="F36" s="63">
        <v>160</v>
      </c>
      <c r="G36" s="64">
        <v>2.2000000000000002</v>
      </c>
      <c r="H36" s="59">
        <v>3.5</v>
      </c>
    </row>
    <row r="37" spans="1:8" x14ac:dyDescent="0.3">
      <c r="A37" s="221"/>
      <c r="B37" s="222"/>
      <c r="C37" s="57" t="s">
        <v>68</v>
      </c>
      <c r="D37" s="222"/>
      <c r="E37" s="57" t="s">
        <v>69</v>
      </c>
      <c r="F37" s="63">
        <v>140</v>
      </c>
      <c r="G37" s="63">
        <v>41.9</v>
      </c>
      <c r="H37" s="59">
        <v>58.6</v>
      </c>
    </row>
    <row r="38" spans="1:8" x14ac:dyDescent="0.3">
      <c r="A38" s="221"/>
      <c r="B38" s="222"/>
      <c r="C38" s="57" t="s">
        <v>68</v>
      </c>
      <c r="D38" s="222"/>
      <c r="E38" s="57" t="s">
        <v>70</v>
      </c>
      <c r="F38" s="63">
        <v>110</v>
      </c>
      <c r="G38" s="63">
        <v>1.1000000000000001</v>
      </c>
      <c r="H38" s="59">
        <v>1.2</v>
      </c>
    </row>
    <row r="39" spans="1:8" x14ac:dyDescent="0.3">
      <c r="A39" s="221" t="s">
        <v>65</v>
      </c>
      <c r="B39" s="57" t="s">
        <v>71</v>
      </c>
      <c r="C39" s="57" t="s">
        <v>72</v>
      </c>
      <c r="D39" s="57" t="s">
        <v>59</v>
      </c>
      <c r="E39" s="57" t="s">
        <v>59</v>
      </c>
      <c r="F39" s="63"/>
      <c r="G39" s="63"/>
      <c r="H39" s="59">
        <f t="shared" si="1"/>
        <v>0</v>
      </c>
    </row>
    <row r="40" spans="1:8" x14ac:dyDescent="0.3">
      <c r="A40" s="221"/>
      <c r="B40" s="57" t="s">
        <v>73</v>
      </c>
      <c r="C40" s="57" t="s">
        <v>74</v>
      </c>
      <c r="D40" s="57" t="s">
        <v>59</v>
      </c>
      <c r="E40" s="57" t="s">
        <v>59</v>
      </c>
      <c r="F40" s="63">
        <v>350</v>
      </c>
      <c r="G40" s="64">
        <v>17</v>
      </c>
      <c r="H40" s="59">
        <v>59.6</v>
      </c>
    </row>
    <row r="41" spans="1:8" x14ac:dyDescent="0.3">
      <c r="A41" s="60" t="s">
        <v>75</v>
      </c>
      <c r="B41" s="57"/>
      <c r="C41" s="57"/>
      <c r="D41" s="57"/>
      <c r="E41" s="57"/>
      <c r="F41" s="61"/>
      <c r="G41" s="61"/>
      <c r="H41" s="62">
        <v>52.1</v>
      </c>
    </row>
    <row r="42" spans="1:8" x14ac:dyDescent="0.3">
      <c r="A42" s="60" t="s">
        <v>76</v>
      </c>
      <c r="B42" s="57"/>
      <c r="C42" s="57"/>
      <c r="D42" s="57"/>
      <c r="E42" s="57"/>
      <c r="F42" s="61"/>
      <c r="G42" s="61"/>
      <c r="H42" s="65">
        <v>122.9</v>
      </c>
    </row>
    <row r="43" spans="1:8" x14ac:dyDescent="0.3">
      <c r="A43" s="221" t="s">
        <v>58</v>
      </c>
      <c r="B43" s="222" t="s">
        <v>77</v>
      </c>
      <c r="C43" s="57" t="s">
        <v>78</v>
      </c>
      <c r="D43" s="222" t="s">
        <v>59</v>
      </c>
      <c r="E43" s="57" t="s">
        <v>63</v>
      </c>
      <c r="F43" s="63">
        <v>260</v>
      </c>
      <c r="G43" s="64">
        <v>6.9</v>
      </c>
      <c r="H43" s="135">
        <v>17.8</v>
      </c>
    </row>
    <row r="44" spans="1:8" x14ac:dyDescent="0.3">
      <c r="A44" s="221"/>
      <c r="B44" s="222"/>
      <c r="C44" s="57" t="s">
        <v>78</v>
      </c>
      <c r="D44" s="222"/>
      <c r="E44" s="57" t="s">
        <v>69</v>
      </c>
      <c r="F44" s="63">
        <v>220</v>
      </c>
      <c r="G44" s="63">
        <v>95.2</v>
      </c>
      <c r="H44" s="135">
        <v>209.5</v>
      </c>
    </row>
    <row r="45" spans="1:8" x14ac:dyDescent="0.3">
      <c r="A45" s="221"/>
      <c r="B45" s="222"/>
      <c r="C45" s="57" t="s">
        <v>78</v>
      </c>
      <c r="D45" s="222"/>
      <c r="E45" s="57" t="s">
        <v>70</v>
      </c>
      <c r="F45" s="63">
        <v>150</v>
      </c>
      <c r="G45" s="63">
        <v>3.7</v>
      </c>
      <c r="H45" s="135">
        <v>5.6</v>
      </c>
    </row>
    <row r="46" spans="1:8" x14ac:dyDescent="0.3">
      <c r="A46" s="60" t="s">
        <v>65</v>
      </c>
      <c r="B46" s="57" t="s">
        <v>79</v>
      </c>
      <c r="C46" s="57" t="s">
        <v>80</v>
      </c>
      <c r="D46" s="57" t="s">
        <v>59</v>
      </c>
      <c r="E46" s="57" t="s">
        <v>59</v>
      </c>
      <c r="F46" s="63">
        <v>270</v>
      </c>
      <c r="G46" s="64">
        <v>19.399999999999999</v>
      </c>
      <c r="H46" s="135">
        <v>52.4</v>
      </c>
    </row>
    <row r="47" spans="1:8" ht="14.4" thickBot="1" x14ac:dyDescent="0.35">
      <c r="A47" s="66" t="s">
        <v>81</v>
      </c>
      <c r="B47" s="67"/>
      <c r="C47" s="67"/>
      <c r="D47" s="67"/>
      <c r="E47" s="67"/>
      <c r="F47" s="68"/>
      <c r="G47" s="68"/>
      <c r="H47" s="69">
        <f>SUM(H43:H46)</f>
        <v>285.3</v>
      </c>
    </row>
    <row r="49" spans="2:7" x14ac:dyDescent="0.3">
      <c r="B49" s="70" t="s">
        <v>255</v>
      </c>
      <c r="C49" s="70"/>
      <c r="D49" s="70"/>
      <c r="E49" s="70"/>
      <c r="F49" s="70"/>
      <c r="G49" s="70"/>
    </row>
  </sheetData>
  <protectedRanges>
    <protectedRange sqref="F10:G47" name="Диапазон1"/>
  </protectedRanges>
  <mergeCells count="28">
    <mergeCell ref="A10:A27"/>
    <mergeCell ref="B12:B13"/>
    <mergeCell ref="D12:D13"/>
    <mergeCell ref="B14:B17"/>
    <mergeCell ref="D14:D15"/>
    <mergeCell ref="D16:D17"/>
    <mergeCell ref="B18:B22"/>
    <mergeCell ref="D18:D20"/>
    <mergeCell ref="D21:D22"/>
    <mergeCell ref="B23:B27"/>
    <mergeCell ref="D23:D25"/>
    <mergeCell ref="D26:D27"/>
    <mergeCell ref="A2:H5"/>
    <mergeCell ref="A6:A7"/>
    <mergeCell ref="B6:B7"/>
    <mergeCell ref="D6:D7"/>
    <mergeCell ref="E6:E7"/>
    <mergeCell ref="A39:A40"/>
    <mergeCell ref="A43:A45"/>
    <mergeCell ref="B43:B45"/>
    <mergeCell ref="D43:D45"/>
    <mergeCell ref="A28:A29"/>
    <mergeCell ref="A31:A38"/>
    <mergeCell ref="B31:B35"/>
    <mergeCell ref="D31:D33"/>
    <mergeCell ref="D34:D35"/>
    <mergeCell ref="B36:B38"/>
    <mergeCell ref="D36:D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E52" sqref="A1:E52"/>
    </sheetView>
  </sheetViews>
  <sheetFormatPr defaultColWidth="8.77734375" defaultRowHeight="13.8" x14ac:dyDescent="0.3"/>
  <cols>
    <col min="1" max="1" width="6.5546875" style="141" customWidth="1"/>
    <col min="2" max="2" width="42.77734375" style="141" customWidth="1"/>
    <col min="3" max="4" width="11.77734375" style="141" customWidth="1"/>
    <col min="5" max="5" width="9.5546875" style="141" customWidth="1"/>
    <col min="6" max="16384" width="8.77734375" style="141"/>
  </cols>
  <sheetData>
    <row r="1" spans="1:5" x14ac:dyDescent="0.3">
      <c r="A1" s="233" t="s">
        <v>259</v>
      </c>
      <c r="B1" s="233"/>
      <c r="C1" s="233"/>
    </row>
    <row r="2" spans="1:5" x14ac:dyDescent="0.3">
      <c r="A2" s="233"/>
      <c r="B2" s="233"/>
      <c r="C2" s="233"/>
      <c r="D2" s="141" t="s">
        <v>283</v>
      </c>
    </row>
    <row r="3" spans="1:5" ht="26.55" customHeight="1" x14ac:dyDescent="0.3">
      <c r="A3" s="147" t="s">
        <v>100</v>
      </c>
      <c r="B3" s="147" t="s">
        <v>87</v>
      </c>
      <c r="C3" s="148" t="s">
        <v>101</v>
      </c>
      <c r="D3" s="40" t="s">
        <v>492</v>
      </c>
      <c r="E3" s="39" t="s">
        <v>472</v>
      </c>
    </row>
    <row r="4" spans="1:5" ht="10.95" customHeight="1" x14ac:dyDescent="0.3">
      <c r="A4" s="157">
        <v>1</v>
      </c>
      <c r="B4" s="157">
        <v>2</v>
      </c>
      <c r="C4" s="157">
        <v>3</v>
      </c>
      <c r="D4" s="140">
        <v>4</v>
      </c>
      <c r="E4" s="140">
        <v>5</v>
      </c>
    </row>
    <row r="5" spans="1:5" x14ac:dyDescent="0.3">
      <c r="A5" s="150" t="s">
        <v>1</v>
      </c>
      <c r="B5" s="150" t="s">
        <v>102</v>
      </c>
      <c r="C5" s="150"/>
      <c r="D5" s="104">
        <v>88.6</v>
      </c>
      <c r="E5" s="104">
        <v>88.6</v>
      </c>
    </row>
    <row r="6" spans="1:5" x14ac:dyDescent="0.3">
      <c r="A6" s="150"/>
      <c r="B6" s="150" t="s">
        <v>103</v>
      </c>
      <c r="C6" s="151" t="s">
        <v>7</v>
      </c>
      <c r="D6" s="151">
        <v>88.6</v>
      </c>
      <c r="E6" s="151">
        <v>88.6</v>
      </c>
    </row>
    <row r="7" spans="1:5" x14ac:dyDescent="0.3">
      <c r="A7" s="150" t="s">
        <v>2</v>
      </c>
      <c r="B7" s="150" t="s">
        <v>104</v>
      </c>
      <c r="C7" s="151"/>
      <c r="D7" s="152"/>
      <c r="E7" s="152"/>
    </row>
    <row r="8" spans="1:5" x14ac:dyDescent="0.3">
      <c r="A8" s="150" t="s">
        <v>105</v>
      </c>
      <c r="B8" s="153" t="s">
        <v>106</v>
      </c>
      <c r="C8" s="151" t="s">
        <v>107</v>
      </c>
      <c r="D8" s="154"/>
      <c r="E8" s="155">
        <v>10303</v>
      </c>
    </row>
    <row r="9" spans="1:5" x14ac:dyDescent="0.3">
      <c r="A9" s="150" t="s">
        <v>108</v>
      </c>
      <c r="B9" s="150" t="s">
        <v>109</v>
      </c>
      <c r="C9" s="151"/>
      <c r="D9" s="152"/>
      <c r="E9" s="152"/>
    </row>
    <row r="10" spans="1:5" x14ac:dyDescent="0.3">
      <c r="A10" s="150" t="s">
        <v>110</v>
      </c>
      <c r="B10" s="153" t="s">
        <v>111</v>
      </c>
      <c r="C10" s="151" t="s">
        <v>107</v>
      </c>
      <c r="D10" s="156"/>
      <c r="E10" s="156"/>
    </row>
    <row r="11" spans="1:5" x14ac:dyDescent="0.3">
      <c r="A11" s="150" t="s">
        <v>112</v>
      </c>
      <c r="B11" s="150" t="s">
        <v>113</v>
      </c>
      <c r="C11" s="151"/>
      <c r="D11" s="151"/>
      <c r="E11" s="151">
        <v>5</v>
      </c>
    </row>
    <row r="12" spans="1:5" x14ac:dyDescent="0.3">
      <c r="A12" s="228" t="s">
        <v>114</v>
      </c>
      <c r="B12" s="229" t="s">
        <v>115</v>
      </c>
      <c r="C12" s="230"/>
      <c r="D12" s="231"/>
      <c r="E12" s="231">
        <v>1.82</v>
      </c>
    </row>
    <row r="13" spans="1:5" ht="15" customHeight="1" x14ac:dyDescent="0.3">
      <c r="A13" s="228"/>
      <c r="B13" s="229"/>
      <c r="C13" s="230"/>
      <c r="D13" s="232"/>
      <c r="E13" s="232"/>
    </row>
    <row r="14" spans="1:5" ht="27" x14ac:dyDescent="0.3">
      <c r="A14" s="150" t="s">
        <v>116</v>
      </c>
      <c r="B14" s="153" t="s">
        <v>117</v>
      </c>
      <c r="C14" s="151" t="s">
        <v>107</v>
      </c>
      <c r="D14" s="158">
        <v>13078.1</v>
      </c>
      <c r="E14" s="158">
        <f>E8*E12</f>
        <v>18751.46</v>
      </c>
    </row>
    <row r="15" spans="1:5" x14ac:dyDescent="0.3">
      <c r="A15" s="150" t="s">
        <v>118</v>
      </c>
      <c r="B15" s="229" t="s">
        <v>119</v>
      </c>
      <c r="C15" s="230"/>
      <c r="D15" s="152"/>
      <c r="E15" s="152"/>
    </row>
    <row r="16" spans="1:5" x14ac:dyDescent="0.3">
      <c r="A16" s="150"/>
      <c r="B16" s="229"/>
      <c r="C16" s="230"/>
      <c r="D16" s="152"/>
      <c r="E16" s="152"/>
    </row>
    <row r="17" spans="1:5" x14ac:dyDescent="0.3">
      <c r="A17" s="150" t="s">
        <v>120</v>
      </c>
      <c r="B17" s="150" t="s">
        <v>286</v>
      </c>
      <c r="C17" s="151" t="s">
        <v>122</v>
      </c>
      <c r="D17" s="151">
        <v>1.7</v>
      </c>
      <c r="E17" s="151">
        <v>1.7</v>
      </c>
    </row>
    <row r="18" spans="1:5" x14ac:dyDescent="0.3">
      <c r="A18" s="150" t="s">
        <v>123</v>
      </c>
      <c r="B18" s="150" t="s">
        <v>124</v>
      </c>
      <c r="C18" s="151" t="s">
        <v>107</v>
      </c>
      <c r="D18" s="158">
        <f t="shared" ref="D18:E18" si="0">D14*D17/100</f>
        <v>222.32769999999999</v>
      </c>
      <c r="E18" s="158">
        <f t="shared" si="0"/>
        <v>318.77481999999998</v>
      </c>
    </row>
    <row r="19" spans="1:5" x14ac:dyDescent="0.3">
      <c r="A19" s="150" t="s">
        <v>125</v>
      </c>
      <c r="B19" s="150" t="s">
        <v>126</v>
      </c>
      <c r="C19" s="151"/>
      <c r="D19" s="152"/>
      <c r="E19" s="152"/>
    </row>
    <row r="20" spans="1:5" x14ac:dyDescent="0.3">
      <c r="A20" s="150" t="s">
        <v>127</v>
      </c>
      <c r="B20" s="150" t="s">
        <v>121</v>
      </c>
      <c r="C20" s="151" t="s">
        <v>122</v>
      </c>
      <c r="D20" s="151">
        <v>50</v>
      </c>
      <c r="E20" s="151">
        <v>50</v>
      </c>
    </row>
    <row r="21" spans="1:5" x14ac:dyDescent="0.3">
      <c r="A21" s="150" t="s">
        <v>128</v>
      </c>
      <c r="B21" s="150" t="s">
        <v>124</v>
      </c>
      <c r="C21" s="151" t="s">
        <v>107</v>
      </c>
      <c r="D21" s="158">
        <f t="shared" ref="D21:E21" si="1">D14*D20/100</f>
        <v>6539.05</v>
      </c>
      <c r="E21" s="158">
        <f t="shared" si="1"/>
        <v>9375.73</v>
      </c>
    </row>
    <row r="22" spans="1:5" x14ac:dyDescent="0.3">
      <c r="A22" s="150" t="s">
        <v>129</v>
      </c>
      <c r="B22" s="153" t="s">
        <v>130</v>
      </c>
      <c r="C22" s="151"/>
      <c r="D22" s="152"/>
      <c r="E22" s="152"/>
    </row>
    <row r="23" spans="1:5" x14ac:dyDescent="0.3">
      <c r="A23" s="150" t="s">
        <v>131</v>
      </c>
      <c r="B23" s="150" t="s">
        <v>287</v>
      </c>
      <c r="C23" s="151" t="s">
        <v>122</v>
      </c>
      <c r="D23" s="151"/>
      <c r="E23" s="151">
        <v>0</v>
      </c>
    </row>
    <row r="24" spans="1:5" x14ac:dyDescent="0.3">
      <c r="A24" s="150" t="s">
        <v>132</v>
      </c>
      <c r="B24" s="150" t="s">
        <v>124</v>
      </c>
      <c r="C24" s="151" t="s">
        <v>107</v>
      </c>
      <c r="D24" s="158">
        <f t="shared" ref="D24:E24" si="2">D14*D23/100</f>
        <v>0</v>
      </c>
      <c r="E24" s="158">
        <f t="shared" si="2"/>
        <v>0</v>
      </c>
    </row>
    <row r="25" spans="1:5" x14ac:dyDescent="0.3">
      <c r="A25" s="150"/>
      <c r="B25" s="150" t="s">
        <v>133</v>
      </c>
      <c r="C25" s="151"/>
      <c r="D25" s="152"/>
      <c r="E25" s="152"/>
    </row>
    <row r="26" spans="1:5" x14ac:dyDescent="0.3">
      <c r="A26" s="150"/>
      <c r="B26" s="150" t="s">
        <v>121</v>
      </c>
      <c r="C26" s="151"/>
      <c r="D26" s="151"/>
      <c r="E26" s="151">
        <v>0</v>
      </c>
    </row>
    <row r="27" spans="1:5" x14ac:dyDescent="0.3">
      <c r="A27" s="150"/>
      <c r="B27" s="150" t="s">
        <v>288</v>
      </c>
      <c r="C27" s="151"/>
      <c r="D27" s="158">
        <f t="shared" ref="D27:E27" si="3">D14*D26/100</f>
        <v>0</v>
      </c>
      <c r="E27" s="158">
        <f t="shared" si="3"/>
        <v>0</v>
      </c>
    </row>
    <row r="28" spans="1:5" x14ac:dyDescent="0.3">
      <c r="A28" s="150" t="s">
        <v>134</v>
      </c>
      <c r="B28" s="150" t="s">
        <v>135</v>
      </c>
      <c r="C28" s="151"/>
      <c r="D28" s="152"/>
      <c r="E28" s="152"/>
    </row>
    <row r="29" spans="1:5" x14ac:dyDescent="0.3">
      <c r="A29" s="150" t="s">
        <v>136</v>
      </c>
      <c r="B29" s="150" t="s">
        <v>121</v>
      </c>
      <c r="C29" s="151" t="s">
        <v>122</v>
      </c>
      <c r="D29" s="179">
        <v>15</v>
      </c>
      <c r="E29" s="179">
        <v>15</v>
      </c>
    </row>
    <row r="30" spans="1:5" x14ac:dyDescent="0.3">
      <c r="A30" s="150" t="s">
        <v>137</v>
      </c>
      <c r="B30" s="150" t="s">
        <v>124</v>
      </c>
      <c r="C30" s="151" t="s">
        <v>107</v>
      </c>
      <c r="D30" s="158">
        <f>D14*D29/100</f>
        <v>1961.7149999999999</v>
      </c>
      <c r="E30" s="158">
        <f>E14*E29/100</f>
        <v>2812.7189999999996</v>
      </c>
    </row>
    <row r="31" spans="1:5" x14ac:dyDescent="0.3">
      <c r="A31" s="150" t="s">
        <v>138</v>
      </c>
      <c r="B31" s="150" t="s">
        <v>139</v>
      </c>
      <c r="C31" s="151"/>
      <c r="D31" s="152"/>
      <c r="E31" s="152"/>
    </row>
    <row r="32" spans="1:5" x14ac:dyDescent="0.3">
      <c r="A32" s="150" t="s">
        <v>140</v>
      </c>
      <c r="B32" s="150" t="s">
        <v>121</v>
      </c>
      <c r="C32" s="151" t="s">
        <v>122</v>
      </c>
      <c r="D32" s="151"/>
      <c r="E32" s="151"/>
    </row>
    <row r="33" spans="1:5" x14ac:dyDescent="0.3">
      <c r="A33" s="150" t="s">
        <v>141</v>
      </c>
      <c r="B33" s="150" t="s">
        <v>124</v>
      </c>
      <c r="C33" s="151" t="s">
        <v>107</v>
      </c>
      <c r="D33" s="158"/>
      <c r="E33" s="158"/>
    </row>
    <row r="34" spans="1:5" ht="27" x14ac:dyDescent="0.3">
      <c r="A34" s="150" t="s">
        <v>142</v>
      </c>
      <c r="B34" s="153" t="s">
        <v>143</v>
      </c>
      <c r="C34" s="151"/>
      <c r="D34" s="152"/>
      <c r="E34" s="152"/>
    </row>
    <row r="35" spans="1:5" x14ac:dyDescent="0.3">
      <c r="A35" s="150" t="s">
        <v>144</v>
      </c>
      <c r="B35" s="150" t="s">
        <v>121</v>
      </c>
      <c r="C35" s="151" t="s">
        <v>122</v>
      </c>
      <c r="D35" s="151">
        <v>100</v>
      </c>
      <c r="E35" s="151">
        <v>100</v>
      </c>
    </row>
    <row r="36" spans="1:5" x14ac:dyDescent="0.3">
      <c r="A36" s="159" t="s">
        <v>145</v>
      </c>
      <c r="B36" s="150" t="s">
        <v>124</v>
      </c>
      <c r="C36" s="151" t="s">
        <v>107</v>
      </c>
      <c r="D36" s="158">
        <f>(D14+D18+D21+D30+D33+D27+D24)*D35/100</f>
        <v>21801.1927</v>
      </c>
      <c r="E36" s="158">
        <f>(E14+E18+E21+E30+E33+E27+E24)*E35/100</f>
        <v>31258.683819999998</v>
      </c>
    </row>
    <row r="37" spans="1:5" x14ac:dyDescent="0.3">
      <c r="A37" s="150" t="s">
        <v>146</v>
      </c>
      <c r="B37" s="150" t="s">
        <v>147</v>
      </c>
      <c r="C37" s="151" t="s">
        <v>107</v>
      </c>
      <c r="D37" s="160">
        <f>D14+D18+D21+D24+D27+D30+D33+D36</f>
        <v>43602.385399999999</v>
      </c>
      <c r="E37" s="160">
        <f>E14+E18+E21+E24+E27+E30+E33+E36</f>
        <v>62517.367639999997</v>
      </c>
    </row>
    <row r="38" spans="1:5" x14ac:dyDescent="0.3">
      <c r="A38" s="228" t="s">
        <v>148</v>
      </c>
      <c r="B38" s="229" t="s">
        <v>149</v>
      </c>
      <c r="C38" s="230"/>
      <c r="D38" s="152"/>
      <c r="E38" s="152"/>
    </row>
    <row r="39" spans="1:5" x14ac:dyDescent="0.3">
      <c r="A39" s="228"/>
      <c r="B39" s="229"/>
      <c r="C39" s="230"/>
      <c r="D39" s="152"/>
      <c r="E39" s="152"/>
    </row>
    <row r="40" spans="1:5" ht="28.2" customHeight="1" x14ac:dyDescent="0.3">
      <c r="A40" s="150" t="s">
        <v>150</v>
      </c>
      <c r="B40" s="178" t="s">
        <v>493</v>
      </c>
      <c r="C40" s="151" t="s">
        <v>151</v>
      </c>
      <c r="D40" s="151">
        <v>263.3</v>
      </c>
      <c r="E40" s="161">
        <f>418.6*1.037</f>
        <v>434.08819999999997</v>
      </c>
    </row>
    <row r="41" spans="1:5" x14ac:dyDescent="0.3">
      <c r="A41" s="150" t="s">
        <v>152</v>
      </c>
      <c r="B41" s="150"/>
      <c r="C41" s="151" t="s">
        <v>151</v>
      </c>
      <c r="D41" s="151"/>
      <c r="E41" s="151"/>
    </row>
    <row r="42" spans="1:5" x14ac:dyDescent="0.3">
      <c r="A42" s="162" t="s">
        <v>153</v>
      </c>
      <c r="B42" s="163" t="s">
        <v>154</v>
      </c>
      <c r="C42" s="151" t="s">
        <v>151</v>
      </c>
      <c r="D42" s="164">
        <f>D37*D6*12/1000+D40</f>
        <v>46621.356157280003</v>
      </c>
      <c r="E42" s="164">
        <f>E37*E6*12/1000+E40</f>
        <v>66902.553474847984</v>
      </c>
    </row>
    <row r="43" spans="1:5" ht="27" x14ac:dyDescent="0.3">
      <c r="A43" s="162"/>
      <c r="B43" s="153" t="s">
        <v>155</v>
      </c>
      <c r="C43" s="151"/>
      <c r="D43" s="165">
        <f>D42/D6/12*1000</f>
        <v>43850.034007975926</v>
      </c>
      <c r="E43" s="165">
        <f>E42/E6/12*1000</f>
        <v>62925.652252490581</v>
      </c>
    </row>
    <row r="44" spans="1:5" x14ac:dyDescent="0.3">
      <c r="A44" s="166"/>
      <c r="B44" s="167"/>
      <c r="C44" s="166"/>
      <c r="D44" s="152"/>
      <c r="E44" s="152"/>
    </row>
    <row r="45" spans="1:5" x14ac:dyDescent="0.3">
      <c r="A45" s="140"/>
      <c r="B45" s="150" t="s">
        <v>252</v>
      </c>
      <c r="C45" s="104" t="s">
        <v>107</v>
      </c>
      <c r="D45" s="152"/>
      <c r="E45" s="152"/>
    </row>
    <row r="46" spans="1:5" x14ac:dyDescent="0.3">
      <c r="A46" s="168"/>
      <c r="B46" s="169" t="s">
        <v>156</v>
      </c>
      <c r="C46" s="149" t="s">
        <v>122</v>
      </c>
      <c r="D46" s="156"/>
      <c r="E46" s="156"/>
    </row>
    <row r="47" spans="1:5" x14ac:dyDescent="0.3">
      <c r="B47" s="170"/>
    </row>
    <row r="48" spans="1:5" x14ac:dyDescent="0.3">
      <c r="B48" s="141" t="s">
        <v>258</v>
      </c>
    </row>
    <row r="49" spans="1:4" ht="27" customHeight="1" x14ac:dyDescent="0.3">
      <c r="A49" s="227" t="s">
        <v>257</v>
      </c>
      <c r="B49" s="227"/>
      <c r="C49" s="227"/>
      <c r="D49" s="227"/>
    </row>
    <row r="50" spans="1:4" ht="15" customHeight="1" x14ac:dyDescent="0.3">
      <c r="A50" s="141" t="s">
        <v>282</v>
      </c>
      <c r="C50" s="171"/>
      <c r="D50" s="171"/>
    </row>
    <row r="51" spans="1:4" ht="15" customHeight="1" x14ac:dyDescent="0.3">
      <c r="A51" s="171"/>
      <c r="B51" s="171"/>
      <c r="C51" s="171"/>
      <c r="D51" s="171"/>
    </row>
  </sheetData>
  <mergeCells count="12">
    <mergeCell ref="E12:E13"/>
    <mergeCell ref="A1:C2"/>
    <mergeCell ref="A12:A13"/>
    <mergeCell ref="B12:B13"/>
    <mergeCell ref="C12:C13"/>
    <mergeCell ref="D12:D13"/>
    <mergeCell ref="A49:D49"/>
    <mergeCell ref="A38:A39"/>
    <mergeCell ref="B38:B39"/>
    <mergeCell ref="C38:C39"/>
    <mergeCell ref="B15:B16"/>
    <mergeCell ref="C15:C16"/>
  </mergeCells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0"/>
  <sheetViews>
    <sheetView topLeftCell="A22" workbookViewId="0">
      <selection activeCell="G41" sqref="A1:G41"/>
    </sheetView>
  </sheetViews>
  <sheetFormatPr defaultRowHeight="14.4" x14ac:dyDescent="0.3"/>
  <cols>
    <col min="1" max="1" width="4.21875" customWidth="1"/>
    <col min="2" max="2" width="15.21875" customWidth="1"/>
    <col min="3" max="3" width="11.5546875" customWidth="1"/>
    <col min="4" max="4" width="13.5546875" customWidth="1"/>
    <col min="5" max="5" width="16.21875" customWidth="1"/>
    <col min="6" max="6" width="13.44140625" customWidth="1"/>
    <col min="7" max="7" width="11.44140625" customWidth="1"/>
  </cols>
  <sheetData>
    <row r="2" spans="2:5" ht="15.6" x14ac:dyDescent="0.3">
      <c r="B2" s="75" t="s">
        <v>442</v>
      </c>
      <c r="C2" s="75"/>
      <c r="D2" s="75"/>
    </row>
    <row r="3" spans="2:5" ht="16.95" customHeight="1" x14ac:dyDescent="0.3"/>
    <row r="4" spans="2:5" x14ac:dyDescent="0.3">
      <c r="B4" s="234" t="s">
        <v>280</v>
      </c>
      <c r="C4" s="234"/>
      <c r="D4" s="234"/>
      <c r="E4" s="234"/>
    </row>
    <row r="5" spans="2:5" x14ac:dyDescent="0.3">
      <c r="B5" s="234" t="s">
        <v>443</v>
      </c>
      <c r="C5" s="234"/>
      <c r="D5" s="234"/>
      <c r="E5" s="234"/>
    </row>
    <row r="6" spans="2:5" x14ac:dyDescent="0.3">
      <c r="B6" s="234" t="s">
        <v>444</v>
      </c>
      <c r="C6" s="234"/>
      <c r="D6" s="234"/>
      <c r="E6" s="234"/>
    </row>
    <row r="7" spans="2:5" x14ac:dyDescent="0.3">
      <c r="E7" t="s">
        <v>469</v>
      </c>
    </row>
    <row r="8" spans="2:5" ht="57.6" customHeight="1" x14ac:dyDescent="0.3">
      <c r="B8" s="42" t="s">
        <v>260</v>
      </c>
      <c r="C8" s="42" t="s">
        <v>261</v>
      </c>
      <c r="D8" s="42" t="s">
        <v>262</v>
      </c>
      <c r="E8" s="42" t="s">
        <v>263</v>
      </c>
    </row>
    <row r="10" spans="2:5" x14ac:dyDescent="0.3">
      <c r="B10" s="2" t="s">
        <v>264</v>
      </c>
      <c r="C10" s="2">
        <v>3.69</v>
      </c>
      <c r="D10" s="2">
        <v>173164.15</v>
      </c>
      <c r="E10" s="43">
        <f>D10*C10</f>
        <v>638975.71349999995</v>
      </c>
    </row>
    <row r="11" spans="2:5" x14ac:dyDescent="0.3">
      <c r="B11" s="2" t="s">
        <v>265</v>
      </c>
      <c r="C11" s="2">
        <v>3.69</v>
      </c>
      <c r="D11" s="2">
        <v>173164.15</v>
      </c>
      <c r="E11" s="43">
        <f t="shared" ref="E11:E21" si="0">D11*C11</f>
        <v>638975.71349999995</v>
      </c>
    </row>
    <row r="12" spans="2:5" x14ac:dyDescent="0.3">
      <c r="B12" s="2" t="s">
        <v>266</v>
      </c>
      <c r="C12" s="2">
        <v>3.69</v>
      </c>
      <c r="D12" s="2">
        <v>173164.15</v>
      </c>
      <c r="E12" s="43">
        <f t="shared" si="0"/>
        <v>638975.71349999995</v>
      </c>
    </row>
    <row r="13" spans="2:5" x14ac:dyDescent="0.3">
      <c r="B13" s="2" t="s">
        <v>267</v>
      </c>
      <c r="C13" s="2">
        <v>3.69</v>
      </c>
      <c r="D13" s="2">
        <v>173164.15</v>
      </c>
      <c r="E13" s="43">
        <f t="shared" si="0"/>
        <v>638975.71349999995</v>
      </c>
    </row>
    <row r="14" spans="2:5" x14ac:dyDescent="0.3">
      <c r="B14" s="2" t="s">
        <v>268</v>
      </c>
      <c r="C14" s="2">
        <v>3.69</v>
      </c>
      <c r="D14" s="2">
        <v>173164.15</v>
      </c>
      <c r="E14" s="43">
        <f t="shared" si="0"/>
        <v>638975.71349999995</v>
      </c>
    </row>
    <row r="15" spans="2:5" x14ac:dyDescent="0.3">
      <c r="B15" s="2" t="s">
        <v>269</v>
      </c>
      <c r="C15" s="2">
        <v>3.69</v>
      </c>
      <c r="D15" s="2">
        <v>173164.15</v>
      </c>
      <c r="E15" s="43">
        <f t="shared" si="0"/>
        <v>638975.71349999995</v>
      </c>
    </row>
    <row r="16" spans="2:5" x14ac:dyDescent="0.3">
      <c r="B16" s="2" t="s">
        <v>270</v>
      </c>
      <c r="C16" s="2">
        <v>3.69</v>
      </c>
      <c r="D16" s="2">
        <v>173164.15</v>
      </c>
      <c r="E16" s="43">
        <f t="shared" si="0"/>
        <v>638975.71349999995</v>
      </c>
    </row>
    <row r="17" spans="2:7" x14ac:dyDescent="0.3">
      <c r="B17" s="2" t="s">
        <v>271</v>
      </c>
      <c r="C17" s="2">
        <v>3.69</v>
      </c>
      <c r="D17" s="2">
        <v>173164.15</v>
      </c>
      <c r="E17" s="43">
        <f t="shared" si="0"/>
        <v>638975.71349999995</v>
      </c>
    </row>
    <row r="18" spans="2:7" x14ac:dyDescent="0.3">
      <c r="B18" s="2" t="s">
        <v>272</v>
      </c>
      <c r="C18" s="2">
        <v>3.69</v>
      </c>
      <c r="D18" s="2">
        <v>173164.15</v>
      </c>
      <c r="E18" s="43">
        <f t="shared" si="0"/>
        <v>638975.71349999995</v>
      </c>
    </row>
    <row r="19" spans="2:7" x14ac:dyDescent="0.3">
      <c r="B19" s="2" t="s">
        <v>273</v>
      </c>
      <c r="C19" s="2">
        <v>3.69</v>
      </c>
      <c r="D19" s="2">
        <v>173164.15</v>
      </c>
      <c r="E19" s="43">
        <f t="shared" si="0"/>
        <v>638975.71349999995</v>
      </c>
    </row>
    <row r="20" spans="2:7" x14ac:dyDescent="0.3">
      <c r="B20" s="2" t="s">
        <v>274</v>
      </c>
      <c r="C20" s="2">
        <v>3.69</v>
      </c>
      <c r="D20" s="2">
        <v>173164.15</v>
      </c>
      <c r="E20" s="43">
        <f t="shared" si="0"/>
        <v>638975.71349999995</v>
      </c>
    </row>
    <row r="21" spans="2:7" x14ac:dyDescent="0.3">
      <c r="B21" s="2" t="s">
        <v>275</v>
      </c>
      <c r="C21" s="2">
        <v>3.69</v>
      </c>
      <c r="D21" s="2">
        <v>173164.15</v>
      </c>
      <c r="E21" s="43">
        <f t="shared" si="0"/>
        <v>638975.71349999995</v>
      </c>
    </row>
    <row r="22" spans="2:7" x14ac:dyDescent="0.3">
      <c r="B22" s="102" t="s">
        <v>276</v>
      </c>
      <c r="C22" s="102" t="s">
        <v>469</v>
      </c>
      <c r="D22" s="102"/>
      <c r="E22" s="44">
        <f>SUM(E10:E21)</f>
        <v>7667708.5619999981</v>
      </c>
    </row>
    <row r="23" spans="2:7" x14ac:dyDescent="0.3">
      <c r="B23" s="102"/>
      <c r="C23" s="102"/>
      <c r="D23" s="102"/>
      <c r="E23" s="44"/>
    </row>
    <row r="24" spans="2:7" x14ac:dyDescent="0.3">
      <c r="B24" s="72"/>
      <c r="C24" s="72"/>
      <c r="D24" s="72"/>
      <c r="E24" s="44"/>
      <c r="G24" s="44"/>
    </row>
    <row r="25" spans="2:7" x14ac:dyDescent="0.3">
      <c r="B25" s="3" t="s">
        <v>282</v>
      </c>
    </row>
    <row r="28" spans="2:7" x14ac:dyDescent="0.3">
      <c r="B28" s="25" t="s">
        <v>445</v>
      </c>
    </row>
    <row r="29" spans="2:7" x14ac:dyDescent="0.3">
      <c r="B29" t="s">
        <v>489</v>
      </c>
    </row>
    <row r="31" spans="2:7" ht="90" customHeight="1" x14ac:dyDescent="0.3">
      <c r="B31" s="2" t="s">
        <v>260</v>
      </c>
      <c r="C31" s="42" t="s">
        <v>490</v>
      </c>
      <c r="D31" s="42" t="s">
        <v>277</v>
      </c>
      <c r="E31" s="42" t="s">
        <v>278</v>
      </c>
      <c r="F31" s="42" t="s">
        <v>491</v>
      </c>
      <c r="G31" s="42" t="s">
        <v>279</v>
      </c>
    </row>
    <row r="32" spans="2:7" x14ac:dyDescent="0.3">
      <c r="B32" s="2" t="s">
        <v>469</v>
      </c>
      <c r="C32" s="2">
        <v>19039.895</v>
      </c>
      <c r="D32" s="2">
        <v>7.83</v>
      </c>
      <c r="E32" s="43">
        <f>C32*D32%</f>
        <v>1490.8237784999999</v>
      </c>
      <c r="F32" s="2">
        <v>1570.37</v>
      </c>
      <c r="G32" s="175">
        <f>E32*F32</f>
        <v>2341144.9370430447</v>
      </c>
    </row>
    <row r="33" spans="2:7" x14ac:dyDescent="0.3">
      <c r="B33" s="1"/>
      <c r="C33" s="1"/>
      <c r="D33" s="1"/>
      <c r="E33" s="176"/>
      <c r="F33" s="1"/>
      <c r="G33" s="177"/>
    </row>
    <row r="34" spans="2:7" x14ac:dyDescent="0.3">
      <c r="B34" s="1"/>
      <c r="C34" s="1"/>
      <c r="D34" s="1"/>
      <c r="E34" s="176"/>
      <c r="F34" s="1"/>
      <c r="G34" s="177"/>
    </row>
    <row r="35" spans="2:7" x14ac:dyDescent="0.3">
      <c r="B35" s="3"/>
    </row>
    <row r="36" spans="2:7" x14ac:dyDescent="0.3">
      <c r="B36" s="25" t="s">
        <v>471</v>
      </c>
      <c r="C36" s="25"/>
      <c r="E36" s="44">
        <f>E22+G32</f>
        <v>10008853.499043044</v>
      </c>
    </row>
    <row r="37" spans="2:7" x14ac:dyDescent="0.3">
      <c r="B37" s="25"/>
      <c r="C37" s="25"/>
      <c r="E37" s="44"/>
    </row>
    <row r="38" spans="2:7" x14ac:dyDescent="0.3">
      <c r="B38" s="25"/>
      <c r="C38" s="25"/>
      <c r="E38" s="44"/>
    </row>
    <row r="39" spans="2:7" x14ac:dyDescent="0.3">
      <c r="B39" s="3" t="s">
        <v>282</v>
      </c>
    </row>
    <row r="40" spans="2:7" x14ac:dyDescent="0.3">
      <c r="B40" s="3"/>
    </row>
  </sheetData>
  <mergeCells count="3">
    <mergeCell ref="B4:E4"/>
    <mergeCell ref="B5:E5"/>
    <mergeCell ref="B6:E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L21" sqref="A1:L21"/>
    </sheetView>
  </sheetViews>
  <sheetFormatPr defaultRowHeight="14.4" x14ac:dyDescent="0.3"/>
  <cols>
    <col min="1" max="1" width="5.77734375" customWidth="1"/>
    <col min="2" max="3" width="10.21875" customWidth="1"/>
    <col min="4" max="4" width="12.77734375" customWidth="1"/>
    <col min="5" max="5" width="10" customWidth="1"/>
    <col min="6" max="6" width="0.33203125" customWidth="1"/>
    <col min="7" max="7" width="8.77734375" customWidth="1"/>
    <col min="8" max="8" width="15.5546875" customWidth="1"/>
    <col min="9" max="9" width="11.21875" customWidth="1"/>
    <col min="10" max="10" width="13.77734375" customWidth="1"/>
    <col min="11" max="11" width="11.77734375" customWidth="1"/>
    <col min="12" max="12" width="12.21875" customWidth="1"/>
  </cols>
  <sheetData>
    <row r="1" spans="1:12" x14ac:dyDescent="0.3">
      <c r="A1" s="25" t="s">
        <v>498</v>
      </c>
    </row>
    <row r="2" spans="1:12" x14ac:dyDescent="0.3">
      <c r="A2" s="25" t="s">
        <v>499</v>
      </c>
    </row>
    <row r="4" spans="1:12" x14ac:dyDescent="0.3">
      <c r="A4" s="25"/>
      <c r="K4" s="25">
        <v>2017</v>
      </c>
    </row>
    <row r="5" spans="1:12" ht="57.6" x14ac:dyDescent="0.3">
      <c r="A5" s="2"/>
      <c r="B5" s="2" t="s">
        <v>500</v>
      </c>
      <c r="C5" s="42" t="s">
        <v>501</v>
      </c>
      <c r="D5" s="42" t="s">
        <v>507</v>
      </c>
      <c r="E5" s="42" t="s">
        <v>502</v>
      </c>
      <c r="F5" s="42"/>
      <c r="G5" s="42" t="s">
        <v>503</v>
      </c>
      <c r="H5" s="42" t="s">
        <v>508</v>
      </c>
      <c r="I5" s="42" t="s">
        <v>504</v>
      </c>
      <c r="J5" s="2" t="s">
        <v>505</v>
      </c>
      <c r="K5" s="2" t="s">
        <v>506</v>
      </c>
      <c r="L5" s="2" t="s">
        <v>326</v>
      </c>
    </row>
    <row r="6" spans="1:12" x14ac:dyDescent="0.3">
      <c r="A6" s="2">
        <v>1</v>
      </c>
      <c r="B6" s="2">
        <f t="shared" ref="B6:B17" si="0">C6+G6</f>
        <v>1774665</v>
      </c>
      <c r="C6" s="2">
        <v>1500000</v>
      </c>
      <c r="D6" s="43">
        <f>C6*E6</f>
        <v>3302354.9999999995</v>
      </c>
      <c r="E6" s="183">
        <v>2.2015699999999998</v>
      </c>
      <c r="F6" s="43"/>
      <c r="G6" s="2">
        <v>274665</v>
      </c>
      <c r="H6" s="43">
        <f>G6*I6</f>
        <v>619723.89284999995</v>
      </c>
      <c r="I6" s="183">
        <v>2.2562899999999999</v>
      </c>
      <c r="J6" s="43">
        <f t="shared" ref="J6:J17" si="1">D6+H6</f>
        <v>3922078.8928499995</v>
      </c>
      <c r="K6" s="43">
        <f>J6*18%</f>
        <v>705974.20071299991</v>
      </c>
      <c r="L6" s="43">
        <f t="shared" ref="L6:L7" si="2">J6+K6</f>
        <v>4628053.0935629997</v>
      </c>
    </row>
    <row r="7" spans="1:12" x14ac:dyDescent="0.3">
      <c r="A7" s="2">
        <v>2</v>
      </c>
      <c r="B7" s="2">
        <f t="shared" si="0"/>
        <v>1344173</v>
      </c>
      <c r="C7" s="2">
        <v>1210000</v>
      </c>
      <c r="D7" s="43">
        <f t="shared" ref="D7:D17" si="3">C7*E7</f>
        <v>2764245</v>
      </c>
      <c r="E7" s="183">
        <v>2.2845</v>
      </c>
      <c r="F7" s="43"/>
      <c r="G7" s="2">
        <v>134173</v>
      </c>
      <c r="H7" s="43">
        <f t="shared" ref="H7:H17" si="4">G7*I7</f>
        <v>313860.16506000003</v>
      </c>
      <c r="I7" s="183">
        <v>2.3392200000000001</v>
      </c>
      <c r="J7" s="43">
        <f t="shared" si="1"/>
        <v>3078105.16506</v>
      </c>
      <c r="K7" s="43">
        <f t="shared" ref="K7:K17" si="5">J7*18%</f>
        <v>554058.92971079994</v>
      </c>
      <c r="L7" s="43">
        <f t="shared" si="2"/>
        <v>3632164.0947707999</v>
      </c>
    </row>
    <row r="8" spans="1:12" x14ac:dyDescent="0.3">
      <c r="A8" s="2">
        <v>3</v>
      </c>
      <c r="B8" s="2">
        <f t="shared" si="0"/>
        <v>1908417</v>
      </c>
      <c r="C8" s="2">
        <v>980000</v>
      </c>
      <c r="D8" s="43">
        <f t="shared" si="3"/>
        <v>2137144.7999999998</v>
      </c>
      <c r="E8" s="183">
        <v>2.1807599999999998</v>
      </c>
      <c r="F8" s="43"/>
      <c r="G8" s="2">
        <v>928417</v>
      </c>
      <c r="H8" s="43">
        <f t="shared" si="4"/>
        <v>2075457.6351599998</v>
      </c>
      <c r="I8" s="183">
        <v>2.2354799999999999</v>
      </c>
      <c r="J8" s="43">
        <f t="shared" si="1"/>
        <v>4212602.4351599999</v>
      </c>
      <c r="K8" s="43">
        <f t="shared" si="5"/>
        <v>758268.43832879991</v>
      </c>
      <c r="L8" s="43">
        <f>J8+K8+0.01</f>
        <v>4970870.8834887994</v>
      </c>
    </row>
    <row r="9" spans="1:12" x14ac:dyDescent="0.3">
      <c r="A9" s="2">
        <v>4</v>
      </c>
      <c r="B9" s="2">
        <f t="shared" si="0"/>
        <v>1255858</v>
      </c>
      <c r="C9" s="2">
        <v>710000</v>
      </c>
      <c r="D9" s="43">
        <f t="shared" si="3"/>
        <v>1539436.2</v>
      </c>
      <c r="E9" s="183">
        <v>2.1682199999999998</v>
      </c>
      <c r="F9" s="43"/>
      <c r="G9" s="2">
        <v>545858</v>
      </c>
      <c r="H9" s="43">
        <f t="shared" si="4"/>
        <v>1213409.5825199999</v>
      </c>
      <c r="I9" s="183">
        <v>2.2229399999999999</v>
      </c>
      <c r="J9" s="43">
        <f t="shared" si="1"/>
        <v>2752845.7825199999</v>
      </c>
      <c r="K9" s="43">
        <f t="shared" si="5"/>
        <v>495512.24085359997</v>
      </c>
      <c r="L9" s="43">
        <f>J9+K9</f>
        <v>3248358.0233736001</v>
      </c>
    </row>
    <row r="10" spans="1:12" x14ac:dyDescent="0.3">
      <c r="A10" s="2">
        <v>5</v>
      </c>
      <c r="B10" s="2">
        <f t="shared" si="0"/>
        <v>986793</v>
      </c>
      <c r="C10" s="2">
        <v>490000</v>
      </c>
      <c r="D10" s="43">
        <f t="shared" si="3"/>
        <v>1083316.5</v>
      </c>
      <c r="E10" s="183">
        <v>2.2108500000000002</v>
      </c>
      <c r="F10" s="43"/>
      <c r="G10" s="2">
        <v>496793</v>
      </c>
      <c r="H10" s="43">
        <f t="shared" si="4"/>
        <v>1125519.3170099999</v>
      </c>
      <c r="I10" s="183">
        <v>2.2655699999999999</v>
      </c>
      <c r="J10" s="43">
        <f t="shared" si="1"/>
        <v>2208835.8170099999</v>
      </c>
      <c r="K10" s="43">
        <f t="shared" si="5"/>
        <v>397590.44706179999</v>
      </c>
      <c r="L10" s="43">
        <f>J10+K10+0.01</f>
        <v>2606426.2740717996</v>
      </c>
    </row>
    <row r="11" spans="1:12" x14ac:dyDescent="0.3">
      <c r="A11" s="2">
        <v>6</v>
      </c>
      <c r="B11" s="2">
        <f>C11+G11</f>
        <v>707687</v>
      </c>
      <c r="C11" s="2">
        <v>350000</v>
      </c>
      <c r="D11" s="43">
        <f t="shared" si="3"/>
        <v>684666.5</v>
      </c>
      <c r="E11" s="183">
        <v>1.9561900000000001</v>
      </c>
      <c r="F11" s="43"/>
      <c r="G11" s="2">
        <v>357687</v>
      </c>
      <c r="H11" s="43">
        <f t="shared" si="4"/>
        <v>719276.36517</v>
      </c>
      <c r="I11" s="183">
        <v>2.01091</v>
      </c>
      <c r="J11" s="43">
        <f t="shared" si="1"/>
        <v>1403942.8651700001</v>
      </c>
      <c r="K11" s="43">
        <f t="shared" si="5"/>
        <v>252709.7157306</v>
      </c>
      <c r="L11" s="43">
        <f>J11+K11+0.01</f>
        <v>1656652.5909006002</v>
      </c>
    </row>
    <row r="12" spans="1:12" x14ac:dyDescent="0.3">
      <c r="A12" s="2">
        <v>7</v>
      </c>
      <c r="B12" s="2">
        <f t="shared" si="0"/>
        <v>528057</v>
      </c>
      <c r="C12" s="2">
        <v>410000</v>
      </c>
      <c r="D12" s="43">
        <f t="shared" si="3"/>
        <v>797646.8</v>
      </c>
      <c r="E12" s="183">
        <v>1.9454800000000001</v>
      </c>
      <c r="F12" s="43"/>
      <c r="G12" s="2">
        <v>118057</v>
      </c>
      <c r="H12" s="43">
        <f t="shared" si="4"/>
        <v>234634.74579000002</v>
      </c>
      <c r="I12" s="183">
        <v>1.9874700000000001</v>
      </c>
      <c r="J12" s="43">
        <f t="shared" si="1"/>
        <v>1032281.5457900001</v>
      </c>
      <c r="K12" s="43">
        <f t="shared" si="5"/>
        <v>185810.67824220003</v>
      </c>
      <c r="L12" s="43">
        <f t="shared" ref="L12:L16" si="6">J12+K12</f>
        <v>1218092.2240322002</v>
      </c>
    </row>
    <row r="13" spans="1:12" x14ac:dyDescent="0.3">
      <c r="A13" s="2">
        <v>8</v>
      </c>
      <c r="B13" s="2">
        <f t="shared" si="0"/>
        <v>611388</v>
      </c>
      <c r="C13" s="2">
        <v>480000</v>
      </c>
      <c r="D13" s="43">
        <f t="shared" si="3"/>
        <v>977457.59999999986</v>
      </c>
      <c r="E13" s="183">
        <v>2.0363699999999998</v>
      </c>
      <c r="F13" s="43"/>
      <c r="G13" s="2">
        <v>131388</v>
      </c>
      <c r="H13" s="43">
        <f t="shared" si="4"/>
        <v>273071.56368000002</v>
      </c>
      <c r="I13" s="183">
        <v>2.07836</v>
      </c>
      <c r="J13" s="43">
        <f t="shared" si="1"/>
        <v>1250529.1636799998</v>
      </c>
      <c r="K13" s="43">
        <f t="shared" si="5"/>
        <v>225095.24946239995</v>
      </c>
      <c r="L13" s="43">
        <f t="shared" si="6"/>
        <v>1475624.4131423996</v>
      </c>
    </row>
    <row r="14" spans="1:12" x14ac:dyDescent="0.3">
      <c r="A14" s="2">
        <v>9</v>
      </c>
      <c r="B14" s="2">
        <f t="shared" si="0"/>
        <v>830274</v>
      </c>
      <c r="C14" s="2">
        <v>650000</v>
      </c>
      <c r="D14" s="43">
        <f t="shared" si="3"/>
        <v>1371084</v>
      </c>
      <c r="E14" s="183">
        <v>2.1093600000000001</v>
      </c>
      <c r="F14" s="43"/>
      <c r="G14" s="2">
        <v>180274</v>
      </c>
      <c r="H14" s="43">
        <f t="shared" si="4"/>
        <v>387832.46989999997</v>
      </c>
      <c r="I14" s="183">
        <v>2.1513499999999999</v>
      </c>
      <c r="J14" s="43">
        <f t="shared" si="1"/>
        <v>1758916.4698999999</v>
      </c>
      <c r="K14" s="43">
        <f t="shared" si="5"/>
        <v>316604.96458199999</v>
      </c>
      <c r="L14" s="43">
        <f t="shared" si="6"/>
        <v>2075521.4344819998</v>
      </c>
    </row>
    <row r="15" spans="1:12" x14ac:dyDescent="0.3">
      <c r="A15" s="2">
        <v>10</v>
      </c>
      <c r="B15" s="2">
        <f t="shared" si="0"/>
        <v>1121084</v>
      </c>
      <c r="C15" s="2">
        <v>710000</v>
      </c>
      <c r="D15" s="43">
        <f t="shared" si="3"/>
        <v>1600908</v>
      </c>
      <c r="E15" s="183">
        <v>2.2547999999999999</v>
      </c>
      <c r="F15" s="43"/>
      <c r="G15" s="2">
        <v>411084</v>
      </c>
      <c r="H15" s="43">
        <f t="shared" si="4"/>
        <v>944173.62036000006</v>
      </c>
      <c r="I15" s="183">
        <v>2.2967900000000001</v>
      </c>
      <c r="J15" s="43">
        <f t="shared" si="1"/>
        <v>2545081.6203600001</v>
      </c>
      <c r="K15" s="43">
        <f t="shared" si="5"/>
        <v>458114.69166479999</v>
      </c>
      <c r="L15" s="43">
        <f t="shared" si="6"/>
        <v>3003196.3120248001</v>
      </c>
    </row>
    <row r="16" spans="1:12" x14ac:dyDescent="0.3">
      <c r="A16" s="2">
        <v>11</v>
      </c>
      <c r="B16" s="2">
        <f t="shared" si="0"/>
        <v>1834233</v>
      </c>
      <c r="C16" s="2">
        <v>1150000</v>
      </c>
      <c r="D16" s="43">
        <f t="shared" si="3"/>
        <v>2663055</v>
      </c>
      <c r="E16" s="183">
        <v>2.3157000000000001</v>
      </c>
      <c r="F16" s="43"/>
      <c r="G16" s="2">
        <v>684233</v>
      </c>
      <c r="H16" s="43">
        <f t="shared" si="4"/>
        <v>1613209.3017699998</v>
      </c>
      <c r="I16" s="183">
        <v>2.3576899999999998</v>
      </c>
      <c r="J16" s="43">
        <f t="shared" si="1"/>
        <v>4276264.3017699998</v>
      </c>
      <c r="K16" s="43">
        <f t="shared" si="5"/>
        <v>769727.57431859989</v>
      </c>
      <c r="L16" s="43">
        <f t="shared" si="6"/>
        <v>5045991.8760885997</v>
      </c>
    </row>
    <row r="17" spans="1:12" x14ac:dyDescent="0.3">
      <c r="A17" s="2">
        <v>12</v>
      </c>
      <c r="B17" s="2">
        <f t="shared" si="0"/>
        <v>2415110</v>
      </c>
      <c r="C17" s="27">
        <v>1650000</v>
      </c>
      <c r="D17" s="105">
        <f t="shared" si="3"/>
        <v>3890089.5</v>
      </c>
      <c r="E17" s="184">
        <v>2.3576299999999999</v>
      </c>
      <c r="F17" s="105"/>
      <c r="G17" s="27">
        <v>765110</v>
      </c>
      <c r="H17" s="105">
        <f t="shared" si="4"/>
        <v>1835973.2582</v>
      </c>
      <c r="I17" s="184">
        <v>2.3996200000000001</v>
      </c>
      <c r="J17" s="105">
        <f t="shared" si="1"/>
        <v>5726062.7582</v>
      </c>
      <c r="K17" s="105">
        <f t="shared" si="5"/>
        <v>1030691.296476</v>
      </c>
      <c r="L17" s="105">
        <f>J17+K17</f>
        <v>6756754.054676</v>
      </c>
    </row>
    <row r="18" spans="1:12" x14ac:dyDescent="0.3">
      <c r="A18" s="2" t="s">
        <v>88</v>
      </c>
      <c r="B18" s="38">
        <f>SUM(B6:B17)</f>
        <v>15317739</v>
      </c>
      <c r="C18" s="38">
        <f>SUM(C6:C17)</f>
        <v>10290000</v>
      </c>
      <c r="D18" s="175">
        <f>SUM(D6:D17)</f>
        <v>22811404.899999999</v>
      </c>
      <c r="E18" s="43"/>
      <c r="F18" s="43"/>
      <c r="G18" s="38">
        <f>SUM(G6:G17)</f>
        <v>5027739</v>
      </c>
      <c r="H18" s="175">
        <f>SUM(H6:H17)</f>
        <v>11356141.917470001</v>
      </c>
      <c r="I18" s="175"/>
      <c r="J18" s="175">
        <f>SUM(J6:J17)</f>
        <v>34167546.817469999</v>
      </c>
      <c r="K18" s="175">
        <f t="shared" ref="K18:L18" si="7">SUM(K6:K17)</f>
        <v>6150158.4271446001</v>
      </c>
      <c r="L18" s="175">
        <f t="shared" si="7"/>
        <v>40317705.274614602</v>
      </c>
    </row>
    <row r="21" spans="1:12" x14ac:dyDescent="0.3">
      <c r="A21" t="s">
        <v>0</v>
      </c>
      <c r="G21" t="s">
        <v>285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workbookViewId="0">
      <selection activeCell="K23" sqref="A1:K23"/>
    </sheetView>
  </sheetViews>
  <sheetFormatPr defaultRowHeight="14.4" x14ac:dyDescent="0.3"/>
  <cols>
    <col min="1" max="1" width="6.21875" customWidth="1"/>
    <col min="2" max="2" width="10.109375" customWidth="1"/>
    <col min="3" max="3" width="14.109375" customWidth="1"/>
    <col min="6" max="6" width="13.6640625" customWidth="1"/>
    <col min="8" max="8" width="12.33203125" customWidth="1"/>
    <col min="10" max="10" width="12" customWidth="1"/>
    <col min="11" max="11" width="14.88671875" customWidth="1"/>
  </cols>
  <sheetData>
    <row r="2" spans="1:11" ht="18" x14ac:dyDescent="0.35">
      <c r="A2" s="194" t="s">
        <v>470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ht="18" x14ac:dyDescent="0.35">
      <c r="A3" s="194" t="s">
        <v>521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ht="18" x14ac:dyDescent="0.35">
      <c r="A4" s="76"/>
      <c r="E4" s="76"/>
    </row>
    <row r="5" spans="1:11" ht="18" x14ac:dyDescent="0.35">
      <c r="A5" s="76"/>
      <c r="E5" s="76"/>
      <c r="K5" t="s">
        <v>107</v>
      </c>
    </row>
    <row r="6" spans="1:11" x14ac:dyDescent="0.3">
      <c r="A6" s="2"/>
      <c r="B6" s="235" t="s">
        <v>509</v>
      </c>
      <c r="C6" s="236"/>
      <c r="D6" s="199" t="s">
        <v>221</v>
      </c>
      <c r="E6" s="199"/>
      <c r="F6" s="199"/>
      <c r="G6" s="199"/>
      <c r="H6" s="199"/>
      <c r="I6" s="237" t="s">
        <v>510</v>
      </c>
      <c r="J6" s="201" t="s">
        <v>511</v>
      </c>
      <c r="K6" s="239" t="s">
        <v>512</v>
      </c>
    </row>
    <row r="7" spans="1:11" ht="72" x14ac:dyDescent="0.3">
      <c r="A7" s="2" t="s">
        <v>513</v>
      </c>
      <c r="B7" s="2" t="s">
        <v>514</v>
      </c>
      <c r="C7" s="42" t="s">
        <v>515</v>
      </c>
      <c r="D7" s="42" t="s">
        <v>516</v>
      </c>
      <c r="E7" s="42" t="s">
        <v>517</v>
      </c>
      <c r="F7" s="42" t="s">
        <v>518</v>
      </c>
      <c r="G7" s="42" t="s">
        <v>519</v>
      </c>
      <c r="H7" s="42" t="s">
        <v>520</v>
      </c>
      <c r="I7" s="238"/>
      <c r="J7" s="201"/>
      <c r="K7" s="239"/>
    </row>
    <row r="8" spans="1:11" x14ac:dyDescent="0.3">
      <c r="A8" s="2">
        <v>1</v>
      </c>
      <c r="B8" s="2">
        <v>7299155</v>
      </c>
      <c r="C8" s="43">
        <f>F8+H8</f>
        <v>7995693.4063999997</v>
      </c>
      <c r="D8" s="2">
        <v>15.35</v>
      </c>
      <c r="E8" s="2">
        <v>400976.71</v>
      </c>
      <c r="F8" s="43">
        <f t="shared" ref="F8:F13" si="0">D8*E8</f>
        <v>6154992.4984999998</v>
      </c>
      <c r="G8" s="2">
        <v>252.18</v>
      </c>
      <c r="H8" s="43">
        <f t="shared" ref="H8:H19" si="1">B8*G8/1000</f>
        <v>1840700.9079</v>
      </c>
      <c r="I8" s="183">
        <v>1.1343099999999999</v>
      </c>
      <c r="J8" s="43">
        <f>B8*I8</f>
        <v>8279504.5080499994</v>
      </c>
      <c r="K8" s="43">
        <f>C8-J8</f>
        <v>-283811.10164999962</v>
      </c>
    </row>
    <row r="9" spans="1:11" x14ac:dyDescent="0.3">
      <c r="A9" s="2">
        <v>2</v>
      </c>
      <c r="B9" s="2">
        <v>6484644</v>
      </c>
      <c r="C9" s="43">
        <f t="shared" ref="C9:C19" si="2">F9+H9</f>
        <v>7790290.0224200003</v>
      </c>
      <c r="D9" s="2">
        <v>15.35</v>
      </c>
      <c r="E9" s="2">
        <v>400976.71</v>
      </c>
      <c r="F9" s="43">
        <f t="shared" si="0"/>
        <v>6154992.4984999998</v>
      </c>
      <c r="G9" s="2">
        <v>252.18</v>
      </c>
      <c r="H9" s="43">
        <f t="shared" si="1"/>
        <v>1635297.5239200001</v>
      </c>
      <c r="I9" s="183">
        <v>1.1343099999999999</v>
      </c>
      <c r="J9" s="43">
        <f t="shared" ref="J9:J19" si="3">B9*I9</f>
        <v>7355596.5356399994</v>
      </c>
      <c r="K9" s="43">
        <f t="shared" ref="K9:K20" si="4">C9-J9</f>
        <v>434693.48678000085</v>
      </c>
    </row>
    <row r="10" spans="1:11" x14ac:dyDescent="0.3">
      <c r="A10" s="2">
        <v>3</v>
      </c>
      <c r="B10" s="2">
        <v>6079738</v>
      </c>
      <c r="C10" s="43">
        <f t="shared" si="2"/>
        <v>7688180.8273399994</v>
      </c>
      <c r="D10" s="2">
        <v>15.35</v>
      </c>
      <c r="E10" s="2">
        <v>400976.71</v>
      </c>
      <c r="F10" s="43">
        <f t="shared" si="0"/>
        <v>6154992.4984999998</v>
      </c>
      <c r="G10" s="2">
        <v>252.18</v>
      </c>
      <c r="H10" s="43">
        <f t="shared" si="1"/>
        <v>1533188.3288400001</v>
      </c>
      <c r="I10" s="183">
        <v>1.1343099999999999</v>
      </c>
      <c r="J10" s="43">
        <f t="shared" si="3"/>
        <v>6896307.6107799998</v>
      </c>
      <c r="K10" s="43">
        <f t="shared" si="4"/>
        <v>791873.21655999962</v>
      </c>
    </row>
    <row r="11" spans="1:11" x14ac:dyDescent="0.3">
      <c r="A11" s="2">
        <v>4</v>
      </c>
      <c r="B11" s="2">
        <v>5869894</v>
      </c>
      <c r="C11" s="43">
        <f t="shared" si="2"/>
        <v>7635262.36742</v>
      </c>
      <c r="D11" s="2">
        <v>15.35</v>
      </c>
      <c r="E11" s="2">
        <v>400976.71</v>
      </c>
      <c r="F11" s="43">
        <f t="shared" si="0"/>
        <v>6154992.4984999998</v>
      </c>
      <c r="G11" s="2">
        <v>252.18</v>
      </c>
      <c r="H11" s="43">
        <f t="shared" si="1"/>
        <v>1480269.86892</v>
      </c>
      <c r="I11" s="183">
        <v>1.1343099999999999</v>
      </c>
      <c r="J11" s="43">
        <f t="shared" si="3"/>
        <v>6658279.4631399997</v>
      </c>
      <c r="K11" s="43">
        <f t="shared" si="4"/>
        <v>976982.90428000037</v>
      </c>
    </row>
    <row r="12" spans="1:11" x14ac:dyDescent="0.3">
      <c r="A12" s="2">
        <v>5</v>
      </c>
      <c r="B12" s="2">
        <v>5633523</v>
      </c>
      <c r="C12" s="43">
        <f t="shared" si="2"/>
        <v>7575654.32864</v>
      </c>
      <c r="D12" s="2">
        <v>15.35</v>
      </c>
      <c r="E12" s="2">
        <v>400976.71</v>
      </c>
      <c r="F12" s="43">
        <f t="shared" si="0"/>
        <v>6154992.4984999998</v>
      </c>
      <c r="G12" s="2">
        <v>252.18</v>
      </c>
      <c r="H12" s="43">
        <f t="shared" si="1"/>
        <v>1420661.8301400002</v>
      </c>
      <c r="I12" s="183">
        <v>1.1343099999999999</v>
      </c>
      <c r="J12" s="43">
        <f t="shared" si="3"/>
        <v>6390161.47413</v>
      </c>
      <c r="K12" s="43">
        <f t="shared" si="4"/>
        <v>1185492.85451</v>
      </c>
    </row>
    <row r="13" spans="1:11" x14ac:dyDescent="0.3">
      <c r="A13" s="2">
        <v>6</v>
      </c>
      <c r="B13" s="27">
        <v>5427796</v>
      </c>
      <c r="C13" s="43">
        <f t="shared" si="2"/>
        <v>7523774.0937799998</v>
      </c>
      <c r="D13" s="2">
        <v>15.35</v>
      </c>
      <c r="E13" s="2">
        <v>400976.71</v>
      </c>
      <c r="F13" s="43">
        <f t="shared" si="0"/>
        <v>6154992.4984999998</v>
      </c>
      <c r="G13" s="2">
        <v>252.18</v>
      </c>
      <c r="H13" s="43">
        <f t="shared" si="1"/>
        <v>1368781.59528</v>
      </c>
      <c r="I13" s="183">
        <v>1.1343099999999999</v>
      </c>
      <c r="J13" s="43">
        <f t="shared" si="3"/>
        <v>6156803.2807599995</v>
      </c>
      <c r="K13" s="43">
        <f t="shared" si="4"/>
        <v>1366970.8130200002</v>
      </c>
    </row>
    <row r="14" spans="1:11" x14ac:dyDescent="0.3">
      <c r="A14" s="2">
        <v>7</v>
      </c>
      <c r="B14" s="27">
        <v>4670153</v>
      </c>
      <c r="C14" s="43">
        <f t="shared" si="2"/>
        <v>7357419.0649100002</v>
      </c>
      <c r="D14" s="2">
        <v>15.3</v>
      </c>
      <c r="E14" s="2">
        <v>402287.24</v>
      </c>
      <c r="F14" s="43">
        <f>D14*E14</f>
        <v>6154994.7719999999</v>
      </c>
      <c r="G14" s="2">
        <v>257.47000000000003</v>
      </c>
      <c r="H14" s="43">
        <f t="shared" si="1"/>
        <v>1202424.2929100001</v>
      </c>
      <c r="I14" s="183">
        <v>1.17306</v>
      </c>
      <c r="J14" s="43">
        <f t="shared" si="3"/>
        <v>5478369.6781799998</v>
      </c>
      <c r="K14" s="43">
        <f t="shared" si="4"/>
        <v>1879049.3867300004</v>
      </c>
    </row>
    <row r="15" spans="1:11" x14ac:dyDescent="0.3">
      <c r="A15" s="2">
        <v>8</v>
      </c>
      <c r="B15" s="27">
        <v>4793252</v>
      </c>
      <c r="C15" s="43">
        <f t="shared" si="2"/>
        <v>7389113.3644399997</v>
      </c>
      <c r="D15" s="2">
        <v>15.3</v>
      </c>
      <c r="E15" s="2">
        <v>402287.24</v>
      </c>
      <c r="F15" s="43">
        <f t="shared" ref="F15:F19" si="5">D15*E15</f>
        <v>6154994.7719999999</v>
      </c>
      <c r="G15" s="2">
        <v>257.47000000000003</v>
      </c>
      <c r="H15" s="43">
        <f t="shared" si="1"/>
        <v>1234118.59244</v>
      </c>
      <c r="I15" s="183">
        <v>1.17306</v>
      </c>
      <c r="J15" s="43">
        <f t="shared" si="3"/>
        <v>5622772.1911199996</v>
      </c>
      <c r="K15" s="43">
        <f t="shared" si="4"/>
        <v>1766341.1733200001</v>
      </c>
    </row>
    <row r="16" spans="1:11" x14ac:dyDescent="0.3">
      <c r="A16" s="2">
        <v>9</v>
      </c>
      <c r="B16" s="27">
        <v>4879379</v>
      </c>
      <c r="C16" s="43">
        <f t="shared" si="2"/>
        <v>7411288.4831300005</v>
      </c>
      <c r="D16" s="2">
        <v>15.3</v>
      </c>
      <c r="E16" s="2">
        <v>402287.24</v>
      </c>
      <c r="F16" s="43">
        <f t="shared" si="5"/>
        <v>6154994.7719999999</v>
      </c>
      <c r="G16" s="2">
        <v>257.47000000000003</v>
      </c>
      <c r="H16" s="43">
        <f t="shared" si="1"/>
        <v>1256293.7111300002</v>
      </c>
      <c r="I16" s="183">
        <v>1.17306</v>
      </c>
      <c r="J16" s="43">
        <f t="shared" si="3"/>
        <v>5723804.32974</v>
      </c>
      <c r="K16" s="43">
        <f t="shared" si="4"/>
        <v>1687484.1533900006</v>
      </c>
    </row>
    <row r="17" spans="1:11" x14ac:dyDescent="0.3">
      <c r="A17" s="180">
        <v>10</v>
      </c>
      <c r="B17" s="27">
        <v>6168361</v>
      </c>
      <c r="C17" s="43">
        <f t="shared" si="2"/>
        <v>7743162.6786700003</v>
      </c>
      <c r="D17" s="2">
        <v>15.3</v>
      </c>
      <c r="E17" s="2">
        <v>402287.24</v>
      </c>
      <c r="F17" s="43">
        <f t="shared" si="5"/>
        <v>6154994.7719999999</v>
      </c>
      <c r="G17" s="2">
        <v>257.47000000000003</v>
      </c>
      <c r="H17" s="43">
        <f t="shared" si="1"/>
        <v>1588167.9066700002</v>
      </c>
      <c r="I17" s="183">
        <v>1.17306</v>
      </c>
      <c r="J17" s="43">
        <f t="shared" si="3"/>
        <v>7235857.5546599999</v>
      </c>
      <c r="K17" s="43">
        <f t="shared" si="4"/>
        <v>507305.12401000038</v>
      </c>
    </row>
    <row r="18" spans="1:11" x14ac:dyDescent="0.3">
      <c r="A18" s="180">
        <v>11</v>
      </c>
      <c r="B18" s="27">
        <v>6079277</v>
      </c>
      <c r="C18" s="43">
        <f t="shared" si="2"/>
        <v>7720226.22119</v>
      </c>
      <c r="D18" s="2">
        <v>15.3</v>
      </c>
      <c r="E18" s="2">
        <v>402287.24</v>
      </c>
      <c r="F18" s="43">
        <f t="shared" si="5"/>
        <v>6154994.7719999999</v>
      </c>
      <c r="G18" s="2">
        <v>257.47000000000003</v>
      </c>
      <c r="H18" s="43">
        <f t="shared" si="1"/>
        <v>1565231.4491900001</v>
      </c>
      <c r="I18" s="183">
        <v>1.17306</v>
      </c>
      <c r="J18" s="43">
        <f t="shared" si="3"/>
        <v>7131356.6776200002</v>
      </c>
      <c r="K18" s="43">
        <f t="shared" si="4"/>
        <v>588869.54356999975</v>
      </c>
    </row>
    <row r="19" spans="1:11" x14ac:dyDescent="0.3">
      <c r="A19" s="27">
        <v>12</v>
      </c>
      <c r="B19" s="27">
        <v>6990328</v>
      </c>
      <c r="C19" s="43">
        <f t="shared" si="2"/>
        <v>7954794.5221600002</v>
      </c>
      <c r="D19" s="27">
        <v>15.3</v>
      </c>
      <c r="E19" s="27">
        <v>402287.24</v>
      </c>
      <c r="F19" s="105">
        <f t="shared" si="5"/>
        <v>6154994.7719999999</v>
      </c>
      <c r="G19" s="2">
        <v>257.47000000000003</v>
      </c>
      <c r="H19" s="105">
        <f t="shared" si="1"/>
        <v>1799799.7501600001</v>
      </c>
      <c r="I19" s="184">
        <v>1.17306</v>
      </c>
      <c r="J19" s="105">
        <f t="shared" si="3"/>
        <v>8200074.1636800002</v>
      </c>
      <c r="K19" s="43">
        <f t="shared" si="4"/>
        <v>-245279.64152000006</v>
      </c>
    </row>
    <row r="20" spans="1:11" ht="15.6" x14ac:dyDescent="0.3">
      <c r="A20" s="2" t="s">
        <v>326</v>
      </c>
      <c r="B20" s="38">
        <f>SUM(B8:B19)</f>
        <v>70375500</v>
      </c>
      <c r="C20" s="38">
        <f>SUM(C8:C19)</f>
        <v>91784859.380500004</v>
      </c>
      <c r="D20" s="2"/>
      <c r="E20" s="2"/>
      <c r="F20" s="38">
        <f>SUM(F8:F19)</f>
        <v>73859923.622999996</v>
      </c>
      <c r="G20" s="2"/>
      <c r="H20" s="38">
        <f>SUM(H8:H19)</f>
        <v>17924935.7575</v>
      </c>
      <c r="I20" s="183">
        <f>J20/B20</f>
        <v>1.1528001572635362</v>
      </c>
      <c r="J20" s="38">
        <f>SUM(J8:J19)</f>
        <v>81128887.467500001</v>
      </c>
      <c r="K20" s="185">
        <f t="shared" si="4"/>
        <v>10655971.913000003</v>
      </c>
    </row>
    <row r="22" spans="1:11" x14ac:dyDescent="0.3">
      <c r="B22" t="s">
        <v>0</v>
      </c>
      <c r="F22" t="s">
        <v>285</v>
      </c>
    </row>
  </sheetData>
  <mergeCells count="7">
    <mergeCell ref="A2:K2"/>
    <mergeCell ref="A3:K3"/>
    <mergeCell ref="B6:C6"/>
    <mergeCell ref="D6:H6"/>
    <mergeCell ref="I6:I7"/>
    <mergeCell ref="J6:J7"/>
    <mergeCell ref="K6:K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НВВ 2019</vt:lpstr>
      <vt:lpstr>интел.учет</vt:lpstr>
      <vt:lpstr>Кол-во учетов</vt:lpstr>
      <vt:lpstr>2.2</vt:lpstr>
      <vt:lpstr>2.1</vt:lpstr>
      <vt:lpstr>1.16</vt:lpstr>
      <vt:lpstr>мэс</vt:lpstr>
      <vt:lpstr>ДЭК</vt:lpstr>
      <vt:lpstr>ДРСК</vt:lpstr>
      <vt:lpstr>Смета расходов по годам</vt:lpstr>
      <vt:lpstr>план-факт 2017</vt:lpstr>
      <vt:lpstr>Отчет по НВВ </vt:lpstr>
      <vt:lpstr>детализация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2018-04-05T01:06:22Z</dcterms:modified>
</cp:coreProperties>
</file>